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20" yWindow="65311" windowWidth="15960" windowHeight="13680" activeTab="1"/>
  </bookViews>
  <sheets>
    <sheet name="Feuil1" sheetId="1" r:id="rId1"/>
    <sheet name="BASECALC" sheetId="2" r:id="rId2"/>
    <sheet name="janvier" sheetId="3" r:id="rId3"/>
    <sheet name="fevrier" sheetId="4" r:id="rId4"/>
    <sheet name="mars" sheetId="5" r:id="rId5"/>
    <sheet name="avril" sheetId="6" r:id="rId6"/>
    <sheet name="mai" sheetId="7" r:id="rId7"/>
    <sheet name="juin" sheetId="8" r:id="rId8"/>
    <sheet name="juillet" sheetId="9" r:id="rId9"/>
    <sheet name="aout" sheetId="10" r:id="rId10"/>
    <sheet name="sept." sheetId="11" r:id="rId11"/>
    <sheet name="oct." sheetId="12" r:id="rId12"/>
    <sheet name="nov." sheetId="13" r:id="rId13"/>
    <sheet name="dec." sheetId="14" r:id="rId14"/>
    <sheet name="BVM" sheetId="15" r:id="rId15"/>
  </sheets>
  <definedNames>
    <definedName name="_xlnm.Print_Area" localSheetId="9">'aout'!$A$1:$F$54</definedName>
    <definedName name="_xlnm.Print_Area" localSheetId="5">'avril'!$A$1:$F$54</definedName>
    <definedName name="_xlnm.Print_Area" localSheetId="13">'dec.'!$A$1:$F$54</definedName>
    <definedName name="_xlnm.Print_Area" localSheetId="3">'fevrier'!$A$1:$F$54</definedName>
    <definedName name="_xlnm.Print_Area" localSheetId="2">'janvier'!$A$1:$F$54</definedName>
    <definedName name="_xlnm.Print_Area" localSheetId="8">'juillet'!$A$1:$F$54</definedName>
    <definedName name="_xlnm.Print_Area" localSheetId="7">'juin'!$A$1:$F$54</definedName>
    <definedName name="_xlnm.Print_Area" localSheetId="6">'mai'!$A$1:$F$54</definedName>
    <definedName name="_xlnm.Print_Area" localSheetId="4">'mars'!$A$1:$F$54</definedName>
    <definedName name="_xlnm.Print_Area" localSheetId="12">'nov.'!$A$1:$F$54</definedName>
    <definedName name="_xlnm.Print_Area" localSheetId="11">'oct.'!$A$1:$F$54</definedName>
    <definedName name="_xlnm.Print_Area" localSheetId="10">'sept.'!$A$1:$F$54</definedName>
  </definedNames>
  <calcPr fullCalcOnLoad="1"/>
</workbook>
</file>

<file path=xl/comments15.xml><?xml version="1.0" encoding="utf-8"?>
<comments xmlns="http://schemas.openxmlformats.org/spreadsheetml/2006/main">
  <authors>
    <author>D. Hanneton</author>
  </authors>
  <commentList>
    <comment ref="F1" authorId="0">
      <text>
        <r>
          <rPr>
            <b/>
            <sz val="9"/>
            <rFont val="Tahoma"/>
            <family val="2"/>
          </rPr>
          <t>à changer si besoin cf. : feuille "utile" de la msa</t>
        </r>
        <r>
          <rPr>
            <sz val="9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rFont val="Tahoma"/>
            <family val="2"/>
          </rPr>
          <t>à changer</t>
        </r>
      </text>
    </comment>
    <comment ref="G4" authorId="0">
      <text>
        <r>
          <rPr>
            <b/>
            <sz val="9"/>
            <rFont val="Tahoma"/>
            <family val="2"/>
          </rPr>
          <t>à changer en cas de changement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106.5 POUR S'APPROCHER DE L'ARRONDI DE LA MSA
+
à changer en cas d'absence ou maladie</t>
        </r>
      </text>
    </comment>
    <comment ref="B3" authorId="0">
      <text>
        <r>
          <rPr>
            <b/>
            <sz val="9"/>
            <rFont val="Tahoma"/>
            <family val="0"/>
          </rPr>
          <t>D. Hanneton:</t>
        </r>
        <r>
          <rPr>
            <sz val="9"/>
            <rFont val="Tahoma"/>
            <family val="0"/>
          </rPr>
          <t xml:space="preserve">
attention, calé sur janvier à changer si modif salaire ou heure dans l'année</t>
        </r>
      </text>
    </comment>
  </commentList>
</comments>
</file>

<file path=xl/comments2.xml><?xml version="1.0" encoding="utf-8"?>
<comments xmlns="http://schemas.openxmlformats.org/spreadsheetml/2006/main">
  <authors>
    <author>D. Hanneton</author>
  </authors>
  <commentList>
    <comment ref="B26" authorId="0">
      <text>
        <r>
          <rPr>
            <sz val="9"/>
            <rFont val="Tahoma"/>
            <family val="2"/>
          </rPr>
          <t>à remplir à la main à chaque nouvelle année</t>
        </r>
      </text>
    </comment>
    <comment ref="A12" authorId="0">
      <text>
        <r>
          <rPr>
            <sz val="9"/>
            <rFont val="Tahoma"/>
            <family val="2"/>
          </rPr>
          <t>à remplir pour remplissage auto dans les tableaux des feuilles mensuelles</t>
        </r>
      </text>
    </comment>
    <comment ref="A29" authorId="0">
      <text>
        <r>
          <rPr>
            <sz val="9"/>
            <rFont val="Tahoma"/>
            <family val="2"/>
          </rPr>
          <t xml:space="preserve">à changer si nécessaire tous les ans </t>
        </r>
      </text>
    </comment>
    <comment ref="I49" authorId="0">
      <text>
        <r>
          <rPr>
            <b/>
            <sz val="9"/>
            <rFont val="Tahoma"/>
            <family val="2"/>
          </rPr>
          <t>à remplir : nombre de jours ouvrés = du lundi au vendredi inclius pour les entreprises ne faisant pas travailler les salariés le samedi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0"/>
          </rPr>
          <t>D. Hanneton:</t>
        </r>
        <r>
          <rPr>
            <sz val="9"/>
            <rFont val="Tahoma"/>
            <family val="0"/>
          </rPr>
          <t xml:space="preserve">
jusqu'au 30/09/2015 après retour aux taux : 0.82/0.6</t>
        </r>
      </text>
    </comment>
    <comment ref="B37" authorId="0">
      <text>
        <r>
          <rPr>
            <b/>
            <sz val="9"/>
            <rFont val="Tahoma"/>
            <family val="0"/>
          </rPr>
          <t>D. Hanneton:</t>
        </r>
        <r>
          <rPr>
            <sz val="9"/>
            <rFont val="Tahoma"/>
            <family val="0"/>
          </rPr>
          <t xml:space="preserve">
 (pour partie à partir 2017)</t>
        </r>
      </text>
    </comment>
  </commentList>
</comments>
</file>

<file path=xl/sharedStrings.xml><?xml version="1.0" encoding="utf-8"?>
<sst xmlns="http://schemas.openxmlformats.org/spreadsheetml/2006/main" count="915" uniqueCount="182">
  <si>
    <t>nombre d’heures</t>
  </si>
  <si>
    <t>salaire horaire de base</t>
  </si>
  <si>
    <t>nombre heures sup à X%</t>
  </si>
  <si>
    <t>salaire horaire</t>
  </si>
  <si>
    <t xml:space="preserve">ancienneté (an) </t>
  </si>
  <si>
    <t>prime %</t>
  </si>
  <si>
    <t>SALAIRE BRUT</t>
  </si>
  <si>
    <t>CHARGES</t>
  </si>
  <si>
    <t>BASES</t>
  </si>
  <si>
    <t>COTISATIONS PATRONALES</t>
  </si>
  <si>
    <t>COTISATIONS SALARIALES</t>
  </si>
  <si>
    <t>Base pour CRDS et CSG</t>
  </si>
  <si>
    <t>salaire brut</t>
  </si>
  <si>
    <t>avantage</t>
  </si>
  <si>
    <t>indem. maladie</t>
  </si>
  <si>
    <t>part patronales de prévoyance
%</t>
  </si>
  <si>
    <t>CSG déductible</t>
  </si>
  <si>
    <t>NET IMPOSABLE</t>
  </si>
  <si>
    <t>CSG non déductible</t>
  </si>
  <si>
    <t>CRDS non déductible</t>
  </si>
  <si>
    <t>à rajouter</t>
  </si>
  <si>
    <t>salaire horaire net (pour info)</t>
  </si>
  <si>
    <t>NET À PAYER</t>
  </si>
  <si>
    <t>à</t>
  </si>
  <si>
    <t>emploi</t>
  </si>
  <si>
    <t>Agent Technique Qualifié</t>
  </si>
  <si>
    <t>coefficient</t>
  </si>
  <si>
    <t>031</t>
  </si>
  <si>
    <t xml:space="preserve">au </t>
  </si>
  <si>
    <t xml:space="preserve">Période du </t>
  </si>
  <si>
    <t>cumul des heures</t>
  </si>
  <si>
    <t>cumul des congés payés (jours)</t>
  </si>
  <si>
    <t>congés pris (jours)</t>
  </si>
  <si>
    <t>congés restants  (jours)</t>
  </si>
  <si>
    <t>convention collective des exploitations maraîchères de la Sarthe (code IDCC 9723)</t>
  </si>
  <si>
    <t>cotisations sociales versées à MSA MAYENNE ORNE SARTHE</t>
  </si>
  <si>
    <t>payé par</t>
  </si>
  <si>
    <t>Allocation familiales</t>
  </si>
  <si>
    <t>Aide au logement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</si>
  <si>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</si>
  <si>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</si>
  <si>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</si>
  <si>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</si>
  <si>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</si>
  <si>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</si>
  <si>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</si>
  <si>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</si>
  <si>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</si>
  <si>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</si>
  <si>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</si>
  <si>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</si>
  <si>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report CP année n-1</t>
  </si>
  <si>
    <t>patronales</t>
  </si>
  <si>
    <t>salariales</t>
  </si>
  <si>
    <t>nb heures annuelles</t>
  </si>
  <si>
    <t>nb heures mensuelles</t>
  </si>
  <si>
    <t>nb heures hebdo</t>
  </si>
  <si>
    <t>nb heures jour (4 jours par semaine)</t>
  </si>
  <si>
    <t>30 jours</t>
  </si>
  <si>
    <t>prorata nb d'heures</t>
  </si>
  <si>
    <t>OU</t>
  </si>
  <si>
    <t>nombre de jours réellement travaillés</t>
  </si>
  <si>
    <t>nombre d'heures</t>
  </si>
  <si>
    <t>mois incomplet</t>
  </si>
  <si>
    <t>nombre de jours à partir date reprise</t>
  </si>
  <si>
    <t>virement</t>
  </si>
  <si>
    <t>part patronales de prévoyance
€</t>
  </si>
  <si>
    <t>taux année en cours (révision janvier ou en cours d'année si besoin)</t>
  </si>
  <si>
    <t>divers calculs pour mois incomplets</t>
  </si>
  <si>
    <t>salaire horaire brut (remettre à jour à chaque nouvelle grille de la convention</t>
  </si>
  <si>
    <t>cas 1 : TESA présent du 1er au dernier jour du mois</t>
  </si>
  <si>
    <t>nombre d'heures travaillées</t>
  </si>
  <si>
    <t>durée légale du travail</t>
  </si>
  <si>
    <t>taux de réevualuation du smic</t>
  </si>
  <si>
    <t>cas 2 : salarié entré ou sorti en cours de mois</t>
  </si>
  <si>
    <t>durée légale du travail (7 heures par jours * nombres de jours OUVRÉS du mois)</t>
  </si>
  <si>
    <t>Maladie total</t>
  </si>
  <si>
    <t>Solidarité autonome</t>
  </si>
  <si>
    <t>Vieillesse sous plafond</t>
  </si>
  <si>
    <t>Vieillesse total</t>
  </si>
  <si>
    <t>Accident du travail</t>
  </si>
  <si>
    <t>Service santé travail</t>
  </si>
  <si>
    <t>Assurance chômage SPL</t>
  </si>
  <si>
    <t>Ass. garantie des salaires</t>
  </si>
  <si>
    <t>Retraite non cadre tranche A</t>
  </si>
  <si>
    <t>AGFF (retraite compl.) non cadre tranche A</t>
  </si>
  <si>
    <t>AEF bourse emploi</t>
  </si>
  <si>
    <t>FAFSEA</t>
  </si>
  <si>
    <t>AFNCA - Provea - ANEFA (formation)</t>
  </si>
  <si>
    <t>Agri. prév. décès SPL</t>
  </si>
  <si>
    <t>Agri. prév. Décès GIT TOT</t>
  </si>
  <si>
    <t xml:space="preserve">à rajouter </t>
  </si>
  <si>
    <t>red. fillon</t>
  </si>
  <si>
    <t>coeff annuel formule</t>
  </si>
  <si>
    <t xml:space="preserve">BASE </t>
  </si>
  <si>
    <t>smic horaire</t>
  </si>
  <si>
    <t>BASE POUR CSG CRDS</t>
  </si>
  <si>
    <t>nombre d'heure mois en court</t>
  </si>
  <si>
    <t>TEL QUE DANS BULLETIN DE SALAIRE</t>
  </si>
  <si>
    <t>TEL QUE DANS BVM</t>
  </si>
  <si>
    <t>n° ligne bull. sal.</t>
  </si>
  <si>
    <t>libellé BVM</t>
  </si>
  <si>
    <t>libellé bull. salaire</t>
  </si>
  <si>
    <t>taux appliqués dans BVM (salariales + patronales)</t>
  </si>
  <si>
    <t>montant</t>
  </si>
  <si>
    <t>ASSURANCES SOCIALES cas général totalité</t>
  </si>
  <si>
    <t>ASSURANCES SOCIALES sous plafond</t>
  </si>
  <si>
    <t>REDUCTION DÉGRESSIVE FILLON = coeff annuel * base salaire</t>
  </si>
  <si>
    <t>CSG + CRDS CAS GÉNÉRAL</t>
  </si>
  <si>
    <t>CONTRIBUTION SOLIDARITÉ AUTONOMIE</t>
  </si>
  <si>
    <t>COTISATIONS RECOUVRÉE PAR LA MSA POUR LE POLE EMPLOI assurance chomage cas général jusqu'à 4 plafonds</t>
  </si>
  <si>
    <t>COTISATIONS RECOUVRÉE PAR LA MSA POUR LE POLE EMPLOI assurance garantie des salaires cas général jusqu'à 4 plafonds</t>
  </si>
  <si>
    <t>COTISATIONS RECOUVRÉE PAR LA MSA POUR AGRICA
CAMARCA retraite tranche A non cadre</t>
  </si>
  <si>
    <t>COTISATIONS RECOUVRÉE PAR LA MSA POUR AGRICA
CAMARCA AGFF tranche A non cadre</t>
  </si>
  <si>
    <t>à rajouter sur le bas de la 1ère feuille du BVM</t>
  </si>
  <si>
    <t>TOTAL A PAYER MOIS EN COURS</t>
  </si>
  <si>
    <t>ALINE BOSTEAU</t>
  </si>
  <si>
    <t>Complémentaire frais de soin</t>
  </si>
  <si>
    <t>SALAIRE MENSUEL BRUT</t>
  </si>
  <si>
    <t>SALAIRE MENSUEL NET</t>
  </si>
  <si>
    <t>SALAIRE MENSUEL NET IMPOSABLE</t>
  </si>
  <si>
    <t>smic annuel temps plein (pour info)</t>
  </si>
  <si>
    <t xml:space="preserve">salaire horaire </t>
  </si>
  <si>
    <t>total cotis %</t>
  </si>
  <si>
    <t>total cotis total cotis €</t>
  </si>
  <si>
    <t>total cotis total cotis € + mutuelle</t>
  </si>
  <si>
    <t>cotis % CSG</t>
  </si>
  <si>
    <t>cotis € CSG</t>
  </si>
  <si>
    <t>déduction par type de charge</t>
  </si>
  <si>
    <t>FILLON</t>
  </si>
  <si>
    <t>autres :</t>
  </si>
  <si>
    <t>RESTE à PAYER charges par type de charge</t>
  </si>
  <si>
    <t>RESTE à PAYER charges TOT</t>
  </si>
  <si>
    <t>VERIF / BVM</t>
  </si>
  <si>
    <t>coeff annuel
0.281/0.6*((1.6*(montant annuel si SMIC/montant annuel réel))-1)</t>
  </si>
  <si>
    <t>TESA</t>
  </si>
  <si>
    <t>cotis salariales &gt; Cf. bulletin de salaire en ligne</t>
  </si>
  <si>
    <t>cotis patronales : A RAJOUTER : 5.6% salaire brut</t>
  </si>
  <si>
    <t>écart dû aux approx sur tableaux de droite, exprès pour être &gt;= approx MSA</t>
  </si>
  <si>
    <t>contrat Aline annualisé</t>
  </si>
  <si>
    <r>
      <t>SMIC-RDF</t>
    </r>
    <r>
      <rPr>
        <sz val="8"/>
        <color indexed="8"/>
        <rFont val="Helvetica Neue"/>
        <family val="0"/>
      </rPr>
      <t>=(smichoraire*dureelegalemens)/(dureereelle/dureereelle)</t>
    </r>
  </si>
  <si>
    <r>
      <t>REM-RDF</t>
    </r>
    <r>
      <rPr>
        <sz val="8"/>
        <color indexed="8"/>
        <rFont val="Helvetica Neue"/>
        <family val="0"/>
      </rPr>
      <t>=salaire brut+indemCP+indemprecarite-tps pause</t>
    </r>
  </si>
  <si>
    <t>temps legal mensuel</t>
  </si>
  <si>
    <t>temps reel travaillé</t>
  </si>
  <si>
    <t>EARL La ferme du hanneton
161 le hérault - 72450 Lombron
SIRET: 520 719 394 00014
APE : 0113Z</t>
  </si>
  <si>
    <t>autres rémun</t>
  </si>
  <si>
    <t>cases à remplir dans BVM</t>
  </si>
  <si>
    <t>assurances sociales</t>
  </si>
  <si>
    <t>Red. Fillon</t>
  </si>
  <si>
    <t>Autres charges</t>
  </si>
  <si>
    <t>Complémentaire</t>
  </si>
  <si>
    <t>TOTAL PAGE 1</t>
  </si>
  <si>
    <t>CSG/CRDS</t>
  </si>
  <si>
    <t>Contribution solidarité autonomie</t>
  </si>
  <si>
    <t>Cotisation pole emploi chomage</t>
  </si>
  <si>
    <t>Cotisation pole emploi garantie</t>
  </si>
  <si>
    <t>TOTAL PAGE 2</t>
  </si>
  <si>
    <t>Cotisation Agrica retraite</t>
  </si>
  <si>
    <t>Cotisation Agrica  AGFF</t>
  </si>
  <si>
    <t>TOTAL PAGE 3</t>
  </si>
  <si>
    <t>TOTAL PAGE 1+2</t>
  </si>
  <si>
    <t>A PAYER</t>
  </si>
  <si>
    <t xml:space="preserve">Gratification de fin d'année temps partiel 70% = 40 * salaire horaire de base (50% de la gratification) </t>
  </si>
  <si>
    <t>abattement 1.75% (depuis 2012)</t>
  </si>
  <si>
    <r>
      <t>BASE</t>
    </r>
    <r>
      <rPr>
        <b/>
        <sz val="9"/>
        <rFont val="Helvetica Neue"/>
        <family val="0"/>
      </rPr>
      <t xml:space="preserve"> = 98.25% salaire + cotisation patronales de prévoyance</t>
    </r>
  </si>
  <si>
    <t>Contribution Organisations syndicales</t>
  </si>
  <si>
    <t>Cotisation pénibilité</t>
  </si>
  <si>
    <t>Organisations syndicales</t>
  </si>
  <si>
    <t>Aide au logement FNAL</t>
  </si>
  <si>
    <t>FNAL aide logt</t>
  </si>
  <si>
    <t>à déduire(-)/à rajouter(+)</t>
  </si>
  <si>
    <r>
      <t>BASE CSG CRDS</t>
    </r>
    <r>
      <rPr>
        <b/>
        <sz val="9"/>
        <rFont val="Helvetica Neue"/>
        <family val="0"/>
      </rPr>
      <t xml:space="preserve"> = 97% salaire + cotisation patronales de prévoyance</t>
    </r>
  </si>
  <si>
    <t>AFNCA ANEFA PROVEA ASC ADEFA (formation)</t>
  </si>
  <si>
    <t>Paritarisme</t>
  </si>
  <si>
    <r>
      <t>Cotisation pénibilité</t>
    </r>
    <r>
      <rPr>
        <sz val="8"/>
        <color indexed="8"/>
        <rFont val="Helvetica Neue"/>
        <family val="0"/>
      </rPr>
      <t xml:space="preserve"> 
(à partir 2017)</t>
    </r>
  </si>
  <si>
    <t xml:space="preserve">rattrage erreur salaire net janvier à avril inclus 1.37€/mois (versé en différé du salaire le 1/05/15) </t>
  </si>
  <si>
    <t>coeff à appliquer (0.2795 max)</t>
  </si>
  <si>
    <t>Cumul imposable</t>
  </si>
  <si>
    <t>cumul imposable</t>
  </si>
  <si>
    <t>attention !! Avec prime recalculer le salaire horaire qui correspond au salaire + prime (=B1/106.6) avec B1 = salaire brut nov.</t>
  </si>
  <si>
    <t>Contribution dialogue social</t>
  </si>
  <si>
    <t>Aline Bosteau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</si>
</sst>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  <numFmt numFmtId="165" formatCode="#,##0.00%"/>
    <numFmt numFmtId="166" formatCode="#,##0%"/>
    <numFmt numFmtId="167" formatCode="[$-40C]d\ mmmm\ yyyy;@"/>
    <numFmt numFmtId="168" formatCode="#,##0.00\ &quot;€&quot;"/>
    <numFmt numFmtId="169" formatCode="#,##0.0"/>
    <numFmt numFmtId="170" formatCode="#,##0\ &quot;€&quot;"/>
    <numFmt numFmtId="171" formatCode="0.000%"/>
  </numFmts>
  <fonts count="58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b/>
      <sz val="12"/>
      <color indexed="63"/>
      <name val="Helvetica Neue"/>
      <family val="0"/>
    </font>
    <font>
      <b/>
      <sz val="10"/>
      <name val="Helvetica Neue"/>
      <family val="0"/>
    </font>
    <font>
      <i/>
      <sz val="10"/>
      <name val="Helvetica Neue"/>
      <family val="0"/>
    </font>
    <font>
      <i/>
      <sz val="10"/>
      <color indexed="63"/>
      <name val="Helvetica Neue"/>
      <family val="0"/>
    </font>
    <font>
      <b/>
      <i/>
      <sz val="10"/>
      <name val="Helvetica Neue"/>
      <family val="0"/>
    </font>
    <font>
      <sz val="12"/>
      <color indexed="8"/>
      <name val="Helvetica Neue"/>
      <family val="0"/>
    </font>
    <font>
      <sz val="12"/>
      <color indexed="63"/>
      <name val="Helvetica Neue"/>
      <family val="0"/>
    </font>
    <font>
      <b/>
      <sz val="14"/>
      <name val="Helvetica Neue"/>
      <family val="0"/>
    </font>
    <font>
      <sz val="14"/>
      <name val="Helvetica Neue"/>
      <family val="0"/>
    </font>
    <font>
      <b/>
      <sz val="12"/>
      <name val="Helvetica Neue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1"/>
      <color indexed="8"/>
      <name val="Helvetica Neue"/>
      <family val="0"/>
    </font>
    <font>
      <b/>
      <sz val="11"/>
      <color indexed="63"/>
      <name val="Helvetica Neue"/>
      <family val="0"/>
    </font>
    <font>
      <sz val="9"/>
      <name val="Tahoma"/>
      <family val="2"/>
    </font>
    <font>
      <b/>
      <sz val="10"/>
      <color indexed="8"/>
      <name val="Arial"/>
      <family val="2"/>
    </font>
    <font>
      <b/>
      <sz val="11"/>
      <name val="Helvetica Neue"/>
      <family val="0"/>
    </font>
    <font>
      <sz val="10"/>
      <color indexed="8"/>
      <name val="Helvetica Neue"/>
      <family val="0"/>
    </font>
    <font>
      <b/>
      <sz val="10"/>
      <color indexed="8"/>
      <name val="Helvetica Neue"/>
      <family val="0"/>
    </font>
    <font>
      <b/>
      <sz val="9"/>
      <name val="Tahoma"/>
      <family val="2"/>
    </font>
    <font>
      <b/>
      <sz val="9"/>
      <name val="Helvetica Neue"/>
      <family val="0"/>
    </font>
    <font>
      <sz val="12"/>
      <name val="Helvetica Neue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b/>
      <sz val="9"/>
      <color indexed="8"/>
      <name val="Helvetica Neue"/>
      <family val="0"/>
    </font>
    <font>
      <b/>
      <sz val="12"/>
      <color indexed="53"/>
      <name val="Helvetica Neu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Helvetica Neue"/>
      <family val="0"/>
    </font>
    <font>
      <sz val="8"/>
      <color indexed="8"/>
      <name val="Helvetica Neue"/>
      <family val="0"/>
    </font>
    <font>
      <b/>
      <sz val="11"/>
      <color indexed="57"/>
      <name val="Arial"/>
      <family val="2"/>
    </font>
    <font>
      <b/>
      <sz val="11"/>
      <name val="Arial"/>
      <family val="2"/>
    </font>
    <font>
      <b/>
      <sz val="14"/>
      <color indexed="14"/>
      <name val="Helvetica Neue"/>
      <family val="0"/>
    </font>
    <font>
      <b/>
      <sz val="10"/>
      <color indexed="53"/>
      <name val="Arial"/>
      <family val="2"/>
    </font>
    <font>
      <b/>
      <sz val="10"/>
      <color indexed="63"/>
      <name val="Arial"/>
      <family val="2"/>
    </font>
    <font>
      <b/>
      <sz val="8"/>
      <name val="Helvetica Neue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35" fillId="15" borderId="0" applyNumberFormat="0" applyBorder="0" applyAlignment="0" applyProtection="0"/>
    <xf numFmtId="0" fontId="39" fillId="2" borderId="1" applyNumberFormat="0" applyAlignment="0" applyProtection="0"/>
    <xf numFmtId="0" fontId="41" fillId="16" borderId="2" applyNumberFormat="0" applyAlignment="0" applyProtection="0"/>
    <xf numFmtId="0" fontId="4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3" borderId="1" applyNumberFormat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0" fillId="4" borderId="7" applyNumberFormat="0" applyFont="0" applyAlignment="0" applyProtection="0"/>
    <xf numFmtId="0" fontId="38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3" fillId="18" borderId="0" xfId="0" applyNumberFormat="1" applyFont="1" applyFill="1" applyBorder="1" applyAlignment="1">
      <alignment horizontal="left" vertical="center" wrapText="1"/>
    </xf>
    <xf numFmtId="4" fontId="2" fillId="18" borderId="0" xfId="0" applyNumberFormat="1" applyFont="1" applyFill="1" applyBorder="1" applyAlignment="1">
      <alignment horizontal="left" vertical="center" wrapText="1"/>
    </xf>
    <xf numFmtId="0" fontId="2" fillId="18" borderId="0" xfId="0" applyNumberFormat="1" applyFont="1" applyFill="1" applyBorder="1" applyAlignment="1">
      <alignment horizontal="center" vertical="center" wrapText="1"/>
    </xf>
    <xf numFmtId="164" fontId="2" fillId="18" borderId="0" xfId="0" applyNumberFormat="1" applyFont="1" applyFill="1" applyBorder="1" applyAlignment="1">
      <alignment horizontal="center" vertical="center" wrapText="1"/>
    </xf>
    <xf numFmtId="4" fontId="2" fillId="18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6" fillId="6" borderId="0" xfId="0" applyNumberFormat="1" applyFont="1" applyFill="1" applyAlignment="1">
      <alignment horizontal="right" vertical="center" wrapText="1"/>
    </xf>
    <xf numFmtId="167" fontId="6" fillId="6" borderId="0" xfId="0" applyNumberFormat="1" applyFont="1" applyFill="1" applyAlignment="1">
      <alignment horizontal="right" vertical="center" wrapText="1"/>
    </xf>
    <xf numFmtId="0" fontId="6" fillId="6" borderId="0" xfId="0" applyNumberFormat="1" applyFont="1" applyFill="1" applyAlignment="1">
      <alignment horizontal="center" vertical="center" wrapText="1"/>
    </xf>
    <xf numFmtId="167" fontId="6" fillId="6" borderId="0" xfId="0" applyNumberFormat="1" applyFont="1" applyFill="1" applyAlignment="1">
      <alignment horizontal="left" vertical="center" wrapText="1"/>
    </xf>
    <xf numFmtId="0" fontId="10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left" vertical="center" wrapText="1"/>
    </xf>
    <xf numFmtId="4" fontId="2" fillId="18" borderId="10" xfId="0" applyNumberFormat="1" applyFont="1" applyFill="1" applyBorder="1" applyAlignment="1">
      <alignment horizontal="center" vertical="center" wrapText="1"/>
    </xf>
    <xf numFmtId="168" fontId="2" fillId="18" borderId="10" xfId="0" applyNumberFormat="1" applyFont="1" applyFill="1" applyBorder="1" applyAlignment="1">
      <alignment horizontal="center" vertical="center" wrapText="1"/>
    </xf>
    <xf numFmtId="164" fontId="2" fillId="18" borderId="10" xfId="0" applyNumberFormat="1" applyFont="1" applyFill="1" applyBorder="1" applyAlignment="1">
      <alignment horizontal="center" vertical="center" wrapText="1"/>
    </xf>
    <xf numFmtId="10" fontId="2" fillId="18" borderId="10" xfId="0" applyNumberFormat="1" applyFont="1" applyFill="1" applyBorder="1" applyAlignment="1">
      <alignment horizontal="center" vertical="center" wrapText="1"/>
    </xf>
    <xf numFmtId="0" fontId="3" fillId="18" borderId="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left" vertical="center" wrapText="1"/>
    </xf>
    <xf numFmtId="3" fontId="2" fillId="18" borderId="10" xfId="0" applyNumberFormat="1" applyFont="1" applyFill="1" applyBorder="1" applyAlignment="1">
      <alignment horizontal="center" vertical="center" wrapText="1"/>
    </xf>
    <xf numFmtId="165" fontId="2" fillId="18" borderId="10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3" fontId="2" fillId="18" borderId="12" xfId="0" applyNumberFormat="1" applyFont="1" applyFill="1" applyBorder="1" applyAlignment="1">
      <alignment horizontal="center" vertical="center" wrapText="1"/>
    </xf>
    <xf numFmtId="165" fontId="2" fillId="18" borderId="12" xfId="0" applyNumberFormat="1" applyFont="1" applyFill="1" applyBorder="1" applyAlignment="1">
      <alignment horizontal="center" vertical="center" wrapText="1"/>
    </xf>
    <xf numFmtId="164" fontId="2" fillId="18" borderId="12" xfId="0" applyNumberFormat="1" applyFont="1" applyFill="1" applyBorder="1" applyAlignment="1">
      <alignment horizontal="center" vertical="center" wrapText="1"/>
    </xf>
    <xf numFmtId="164" fontId="4" fillId="18" borderId="11" xfId="0" applyNumberFormat="1" applyFont="1" applyFill="1" applyBorder="1" applyAlignment="1">
      <alignment horizontal="center" vertical="center" wrapText="1"/>
    </xf>
    <xf numFmtId="0" fontId="3" fillId="18" borderId="13" xfId="0" applyNumberFormat="1" applyFont="1" applyFill="1" applyBorder="1" applyAlignment="1">
      <alignment horizontal="left" vertical="center" wrapText="1"/>
    </xf>
    <xf numFmtId="3" fontId="2" fillId="18" borderId="13" xfId="0" applyNumberFormat="1" applyFont="1" applyFill="1" applyBorder="1" applyAlignment="1">
      <alignment horizontal="center" vertical="center" wrapText="1"/>
    </xf>
    <xf numFmtId="165" fontId="2" fillId="18" borderId="13" xfId="0" applyNumberFormat="1" applyFont="1" applyFill="1" applyBorder="1" applyAlignment="1">
      <alignment horizontal="center" vertical="center" wrapText="1"/>
    </xf>
    <xf numFmtId="164" fontId="2" fillId="18" borderId="13" xfId="0" applyNumberFormat="1" applyFont="1" applyFill="1" applyBorder="1" applyAlignment="1">
      <alignment horizontal="center" vertical="center" wrapText="1"/>
    </xf>
    <xf numFmtId="165" fontId="2" fillId="18" borderId="0" xfId="0" applyNumberFormat="1" applyFont="1" applyFill="1" applyBorder="1" applyAlignment="1">
      <alignment horizontal="center" vertical="center" wrapText="1"/>
    </xf>
    <xf numFmtId="164" fontId="11" fillId="18" borderId="11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vertical="center" wrapText="1"/>
    </xf>
    <xf numFmtId="0" fontId="6" fillId="6" borderId="10" xfId="0" applyNumberFormat="1" applyFont="1" applyFill="1" applyBorder="1" applyAlignment="1">
      <alignment vertical="center" wrapText="1"/>
    </xf>
    <xf numFmtId="167" fontId="6" fillId="6" borderId="0" xfId="0" applyNumberFormat="1" applyFont="1" applyFill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0" fillId="19" borderId="15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69" fontId="21" fillId="0" borderId="10" xfId="0" applyNumberFormat="1" applyFont="1" applyBorder="1" applyAlignment="1">
      <alignment vertical="center" wrapText="1"/>
    </xf>
    <xf numFmtId="169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168" fontId="16" fillId="0" borderId="10" xfId="0" applyNumberFormat="1" applyFont="1" applyBorder="1" applyAlignment="1">
      <alignment vertical="center" wrapText="1"/>
    </xf>
    <xf numFmtId="0" fontId="16" fillId="19" borderId="15" xfId="0" applyFont="1" applyFill="1" applyBorder="1" applyAlignment="1">
      <alignment vertical="center" wrapText="1"/>
    </xf>
    <xf numFmtId="168" fontId="16" fillId="0" borderId="14" xfId="0" applyNumberFormat="1" applyFont="1" applyBorder="1" applyAlignment="1">
      <alignment vertical="center" wrapText="1"/>
    </xf>
    <xf numFmtId="0" fontId="16" fillId="18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" fillId="18" borderId="14" xfId="0" applyNumberFormat="1" applyFont="1" applyFill="1" applyBorder="1" applyAlignment="1">
      <alignment vertical="center" wrapText="1"/>
    </xf>
    <xf numFmtId="0" fontId="2" fillId="18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18" borderId="13" xfId="0" applyNumberFormat="1" applyFont="1" applyFill="1" applyBorder="1" applyAlignment="1">
      <alignment vertical="center" wrapText="1"/>
    </xf>
    <xf numFmtId="168" fontId="17" fillId="18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64" fontId="2" fillId="18" borderId="10" xfId="0" applyNumberFormat="1" applyFont="1" applyFill="1" applyBorder="1" applyAlignment="1">
      <alignment vertical="center" wrapText="1"/>
    </xf>
    <xf numFmtId="0" fontId="2" fillId="18" borderId="12" xfId="0" applyNumberFormat="1" applyFont="1" applyFill="1" applyBorder="1" applyAlignment="1">
      <alignment vertical="center" wrapText="1"/>
    </xf>
    <xf numFmtId="164" fontId="2" fillId="18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18" borderId="13" xfId="0" applyNumberFormat="1" applyFont="1" applyFill="1" applyBorder="1" applyAlignment="1">
      <alignment vertical="center" wrapText="1"/>
    </xf>
    <xf numFmtId="165" fontId="2" fillId="18" borderId="13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13" fillId="18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18" borderId="0" xfId="0" applyNumberFormat="1" applyFont="1" applyFill="1" applyBorder="1" applyAlignment="1">
      <alignment vertical="center" wrapText="1"/>
    </xf>
    <xf numFmtId="0" fontId="2" fillId="18" borderId="0" xfId="0" applyNumberFormat="1" applyFont="1" applyFill="1" applyBorder="1" applyAlignment="1">
      <alignment vertical="center" wrapText="1"/>
    </xf>
    <xf numFmtId="44" fontId="2" fillId="18" borderId="14" xfId="0" applyNumberFormat="1" applyFont="1" applyFill="1" applyBorder="1" applyAlignment="1">
      <alignment vertical="center" wrapText="1"/>
    </xf>
    <xf numFmtId="44" fontId="2" fillId="18" borderId="10" xfId="0" applyNumberFormat="1" applyFont="1" applyFill="1" applyBorder="1" applyAlignment="1">
      <alignment vertical="center" wrapText="1"/>
    </xf>
    <xf numFmtId="0" fontId="19" fillId="9" borderId="0" xfId="0" applyFont="1" applyFill="1" applyAlignment="1">
      <alignment vertical="center" wrapText="1"/>
    </xf>
    <xf numFmtId="0" fontId="19" fillId="3" borderId="0" xfId="0" applyFont="1" applyFill="1" applyAlignment="1">
      <alignment vertical="center" wrapText="1"/>
    </xf>
    <xf numFmtId="10" fontId="15" fillId="9" borderId="10" xfId="0" applyNumberFormat="1" applyFont="1" applyFill="1" applyBorder="1" applyAlignment="1">
      <alignment vertical="center" wrapText="1"/>
    </xf>
    <xf numFmtId="10" fontId="15" fillId="3" borderId="10" xfId="0" applyNumberFormat="1" applyFont="1" applyFill="1" applyBorder="1" applyAlignment="1">
      <alignment vertical="center" wrapText="1"/>
    </xf>
    <xf numFmtId="10" fontId="16" fillId="0" borderId="10" xfId="0" applyNumberFormat="1" applyFont="1" applyBorder="1" applyAlignment="1">
      <alignment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4" fillId="18" borderId="16" xfId="0" applyNumberFormat="1" applyFont="1" applyFill="1" applyBorder="1" applyAlignment="1">
      <alignment horizontal="center" vertical="center" wrapText="1"/>
    </xf>
    <xf numFmtId="165" fontId="25" fillId="18" borderId="17" xfId="0" applyNumberFormat="1" applyFont="1" applyFill="1" applyBorder="1" applyAlignment="1">
      <alignment horizontal="center" vertical="center" wrapText="1"/>
    </xf>
    <xf numFmtId="0" fontId="4" fillId="18" borderId="18" xfId="0" applyNumberFormat="1" applyFont="1" applyFill="1" applyBorder="1" applyAlignment="1">
      <alignment horizontal="left" vertical="center" wrapText="1"/>
    </xf>
    <xf numFmtId="0" fontId="4" fillId="18" borderId="19" xfId="0" applyNumberFormat="1" applyFont="1" applyFill="1" applyBorder="1" applyAlignment="1">
      <alignment horizontal="left" vertical="center" wrapText="1"/>
    </xf>
    <xf numFmtId="3" fontId="2" fillId="18" borderId="2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5" fontId="9" fillId="18" borderId="21" xfId="0" applyNumberFormat="1" applyFont="1" applyFill="1" applyBorder="1" applyAlignment="1">
      <alignment horizontal="center" vertical="center" wrapText="1"/>
    </xf>
    <xf numFmtId="164" fontId="4" fillId="18" borderId="22" xfId="0" applyNumberFormat="1" applyFont="1" applyFill="1" applyBorder="1" applyAlignment="1">
      <alignment horizontal="center" vertical="center" wrapText="1"/>
    </xf>
    <xf numFmtId="165" fontId="9" fillId="18" borderId="19" xfId="0" applyNumberFormat="1" applyFont="1" applyFill="1" applyBorder="1" applyAlignment="1">
      <alignment horizontal="center" vertical="center" wrapText="1"/>
    </xf>
    <xf numFmtId="164" fontId="4" fillId="18" borderId="2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8" fontId="19" fillId="0" borderId="0" xfId="0" applyNumberFormat="1" applyFont="1" applyAlignment="1">
      <alignment vertical="center"/>
    </xf>
    <xf numFmtId="10" fontId="19" fillId="0" borderId="0" xfId="0" applyNumberFormat="1" applyFont="1" applyAlignment="1">
      <alignment vertical="center"/>
    </xf>
    <xf numFmtId="170" fontId="19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0" fontId="15" fillId="0" borderId="0" xfId="0" applyNumberFormat="1" applyFont="1" applyAlignment="1">
      <alignment vertical="center"/>
    </xf>
    <xf numFmtId="170" fontId="15" fillId="0" borderId="0" xfId="0" applyNumberFormat="1" applyFont="1" applyAlignment="1">
      <alignment vertical="center"/>
    </xf>
    <xf numFmtId="0" fontId="19" fillId="18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10" fontId="15" fillId="18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10" fontId="15" fillId="0" borderId="10" xfId="0" applyNumberFormat="1" applyFont="1" applyBorder="1" applyAlignment="1">
      <alignment vertical="center" wrapText="1"/>
    </xf>
    <xf numFmtId="170" fontId="27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4" borderId="10" xfId="0" applyFont="1" applyFill="1" applyBorder="1" applyAlignment="1">
      <alignment vertical="center" wrapText="1"/>
    </xf>
    <xf numFmtId="2" fontId="29" fillId="0" borderId="10" xfId="0" applyNumberFormat="1" applyFont="1" applyBorder="1" applyAlignment="1">
      <alignment vertical="center" wrapText="1"/>
    </xf>
    <xf numFmtId="10" fontId="15" fillId="0" borderId="10" xfId="0" applyNumberFormat="1" applyFont="1" applyBorder="1" applyAlignment="1">
      <alignment vertical="center"/>
    </xf>
    <xf numFmtId="170" fontId="15" fillId="0" borderId="1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 wrapText="1"/>
    </xf>
    <xf numFmtId="0" fontId="46" fillId="18" borderId="12" xfId="0" applyNumberFormat="1" applyFont="1" applyFill="1" applyBorder="1" applyAlignment="1">
      <alignment horizontal="left" vertical="center" wrapText="1"/>
    </xf>
    <xf numFmtId="168" fontId="15" fillId="9" borderId="10" xfId="0" applyNumberFormat="1" applyFont="1" applyFill="1" applyBorder="1" applyAlignment="1">
      <alignment vertical="center" wrapText="1"/>
    </xf>
    <xf numFmtId="168" fontId="15" fillId="3" borderId="10" xfId="0" applyNumberFormat="1" applyFont="1" applyFill="1" applyBorder="1" applyAlignment="1">
      <alignment vertical="center" wrapText="1"/>
    </xf>
    <xf numFmtId="168" fontId="47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0" fontId="48" fillId="0" borderId="0" xfId="0" applyNumberFormat="1" applyFont="1" applyAlignment="1">
      <alignment vertical="center"/>
    </xf>
    <xf numFmtId="168" fontId="48" fillId="0" borderId="0" xfId="0" applyNumberFormat="1" applyFont="1" applyAlignment="1">
      <alignment vertical="center"/>
    </xf>
    <xf numFmtId="168" fontId="49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70" fontId="48" fillId="0" borderId="0" xfId="0" applyNumberFormat="1" applyFont="1" applyAlignment="1">
      <alignment vertical="center"/>
    </xf>
    <xf numFmtId="168" fontId="15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44" fontId="15" fillId="18" borderId="10" xfId="0" applyNumberFormat="1" applyFont="1" applyFill="1" applyBorder="1" applyAlignment="1">
      <alignment vertical="center" wrapText="1"/>
    </xf>
    <xf numFmtId="0" fontId="15" fillId="19" borderId="0" xfId="0" applyFont="1" applyFill="1" applyAlignment="1">
      <alignment vertical="center"/>
    </xf>
    <xf numFmtId="0" fontId="16" fillId="19" borderId="24" xfId="0" applyFont="1" applyFill="1" applyBorder="1" applyAlignment="1">
      <alignment vertical="center" wrapText="1"/>
    </xf>
    <xf numFmtId="168" fontId="16" fillId="0" borderId="25" xfId="0" applyNumberFormat="1" applyFont="1" applyBorder="1" applyAlignment="1">
      <alignment vertical="center" wrapText="1"/>
    </xf>
    <xf numFmtId="0" fontId="16" fillId="19" borderId="10" xfId="0" applyFont="1" applyFill="1" applyBorder="1" applyAlignment="1">
      <alignment vertical="center" wrapText="1"/>
    </xf>
    <xf numFmtId="168" fontId="16" fillId="0" borderId="10" xfId="0" applyNumberFormat="1" applyFont="1" applyBorder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170" fontId="52" fillId="0" borderId="0" xfId="0" applyNumberFormat="1" applyFont="1" applyAlignment="1">
      <alignment horizontal="center" vertical="center" wrapText="1"/>
    </xf>
    <xf numFmtId="10" fontId="52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70" fontId="53" fillId="0" borderId="0" xfId="0" applyNumberFormat="1" applyFont="1" applyAlignment="1">
      <alignment horizontal="center" vertical="center" wrapText="1"/>
    </xf>
    <xf numFmtId="171" fontId="15" fillId="9" borderId="10" xfId="0" applyNumberFormat="1" applyFont="1" applyFill="1" applyBorder="1" applyAlignment="1">
      <alignment vertical="center" wrapText="1"/>
    </xf>
    <xf numFmtId="171" fontId="15" fillId="3" borderId="10" xfId="0" applyNumberFormat="1" applyFont="1" applyFill="1" applyBorder="1" applyAlignment="1">
      <alignment vertical="center" wrapText="1"/>
    </xf>
    <xf numFmtId="168" fontId="19" fillId="19" borderId="0" xfId="0" applyNumberFormat="1" applyFont="1" applyFill="1" applyAlignment="1">
      <alignment vertical="center"/>
    </xf>
    <xf numFmtId="169" fontId="19" fillId="19" borderId="0" xfId="0" applyNumberFormat="1" applyFont="1" applyFill="1" applyAlignment="1">
      <alignment vertical="center"/>
    </xf>
    <xf numFmtId="44" fontId="0" fillId="0" borderId="0" xfId="0" applyNumberFormat="1" applyAlignment="1">
      <alignment vertical="center" wrapText="1"/>
    </xf>
    <xf numFmtId="10" fontId="2" fillId="18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vertical="center" wrapText="1"/>
    </xf>
    <xf numFmtId="0" fontId="22" fillId="18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Alignment="1">
      <alignment vertical="center" wrapText="1"/>
    </xf>
    <xf numFmtId="168" fontId="9" fillId="0" borderId="0" xfId="0" applyNumberFormat="1" applyFont="1" applyAlignment="1">
      <alignment vertical="center" wrapText="1"/>
    </xf>
    <xf numFmtId="168" fontId="29" fillId="0" borderId="10" xfId="0" applyNumberFormat="1" applyFont="1" applyBorder="1" applyAlignment="1">
      <alignment vertical="center" wrapText="1"/>
    </xf>
    <xf numFmtId="0" fontId="13" fillId="18" borderId="10" xfId="0" applyNumberFormat="1" applyFont="1" applyFill="1" applyBorder="1" applyAlignment="1">
      <alignment vertical="center" wrapText="1"/>
    </xf>
    <xf numFmtId="4" fontId="2" fillId="19" borderId="10" xfId="0" applyNumberFormat="1" applyFont="1" applyFill="1" applyBorder="1" applyAlignment="1">
      <alignment horizontal="center" vertical="center" wrapText="1"/>
    </xf>
    <xf numFmtId="168" fontId="2" fillId="19" borderId="10" xfId="0" applyNumberFormat="1" applyFont="1" applyFill="1" applyBorder="1" applyAlignment="1">
      <alignment horizontal="center" vertical="center" wrapText="1"/>
    </xf>
    <xf numFmtId="0" fontId="16" fillId="19" borderId="0" xfId="0" applyFont="1" applyFill="1" applyBorder="1" applyAlignment="1">
      <alignment vertical="center" wrapText="1"/>
    </xf>
    <xf numFmtId="168" fontId="16" fillId="0" borderId="26" xfId="0" applyNumberFormat="1" applyFont="1" applyBorder="1" applyAlignment="1">
      <alignment vertical="center" wrapText="1"/>
    </xf>
    <xf numFmtId="168" fontId="54" fillId="0" borderId="0" xfId="0" applyNumberFormat="1" applyFont="1" applyAlignment="1">
      <alignment horizontal="center" vertical="center" wrapText="1"/>
    </xf>
    <xf numFmtId="168" fontId="8" fillId="0" borderId="10" xfId="0" applyNumberFormat="1" applyFont="1" applyBorder="1" applyAlignment="1">
      <alignment horizontal="left" vertical="center" wrapText="1"/>
    </xf>
    <xf numFmtId="0" fontId="55" fillId="19" borderId="0" xfId="0" applyFont="1" applyFill="1" applyAlignment="1">
      <alignment vertical="center"/>
    </xf>
    <xf numFmtId="0" fontId="56" fillId="0" borderId="10" xfId="0" applyNumberFormat="1" applyFont="1" applyBorder="1" applyAlignment="1">
      <alignment vertical="center" wrapText="1"/>
    </xf>
    <xf numFmtId="10" fontId="19" fillId="9" borderId="10" xfId="0" applyNumberFormat="1" applyFont="1" applyFill="1" applyBorder="1" applyAlignment="1">
      <alignment vertical="center" wrapText="1"/>
    </xf>
    <xf numFmtId="10" fontId="19" fillId="3" borderId="10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4" fontId="16" fillId="0" borderId="26" xfId="0" applyNumberFormat="1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20" fillId="19" borderId="34" xfId="0" applyNumberFormat="1" applyFont="1" applyFill="1" applyBorder="1" applyAlignment="1">
      <alignment vertical="center" wrapText="1"/>
    </xf>
    <xf numFmtId="0" fontId="20" fillId="19" borderId="35" xfId="0" applyNumberFormat="1" applyFont="1" applyFill="1" applyBorder="1" applyAlignment="1">
      <alignment vertical="center" wrapText="1"/>
    </xf>
    <xf numFmtId="0" fontId="20" fillId="19" borderId="18" xfId="0" applyNumberFormat="1" applyFont="1" applyFill="1" applyBorder="1" applyAlignment="1">
      <alignment vertical="center" wrapText="1"/>
    </xf>
    <xf numFmtId="0" fontId="20" fillId="19" borderId="23" xfId="0" applyNumberFormat="1" applyFont="1" applyFill="1" applyBorder="1" applyAlignment="1">
      <alignment vertical="center" wrapText="1"/>
    </xf>
    <xf numFmtId="0" fontId="16" fillId="19" borderId="18" xfId="0" applyFont="1" applyFill="1" applyBorder="1" applyAlignment="1">
      <alignment vertical="center" wrapText="1"/>
    </xf>
    <xf numFmtId="0" fontId="16" fillId="19" borderId="19" xfId="0" applyFont="1" applyFill="1" applyBorder="1" applyAlignment="1">
      <alignment vertical="center" wrapText="1"/>
    </xf>
    <xf numFmtId="0" fontId="16" fillId="19" borderId="23" xfId="0" applyFont="1" applyFill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6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18" borderId="36" xfId="0" applyNumberFormat="1" applyFont="1" applyFill="1" applyBorder="1" applyAlignment="1">
      <alignment horizontal="left" vertical="center" wrapText="1"/>
    </xf>
    <xf numFmtId="0" fontId="9" fillId="18" borderId="37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2" fillId="18" borderId="0" xfId="0" applyNumberFormat="1" applyFont="1" applyFill="1" applyBorder="1" applyAlignment="1">
      <alignment horizontal="left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38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18" borderId="39" xfId="0" applyNumberFormat="1" applyFont="1" applyFill="1" applyBorder="1" applyAlignment="1">
      <alignment horizontal="left" vertical="center" wrapText="1"/>
    </xf>
    <xf numFmtId="0" fontId="4" fillId="18" borderId="40" xfId="0" applyNumberFormat="1" applyFont="1" applyFill="1" applyBorder="1" applyAlignment="1">
      <alignment horizontal="left" vertical="center" wrapText="1"/>
    </xf>
    <xf numFmtId="0" fontId="4" fillId="18" borderId="18" xfId="0" applyNumberFormat="1" applyFont="1" applyFill="1" applyBorder="1" applyAlignment="1">
      <alignment horizontal="left" vertical="center" wrapText="1"/>
    </xf>
    <xf numFmtId="0" fontId="4" fillId="18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1" fillId="18" borderId="17" xfId="0" applyNumberFormat="1" applyFont="1" applyFill="1" applyBorder="1" applyAlignment="1">
      <alignment horizontal="left" vertical="center" wrapText="1"/>
    </xf>
    <xf numFmtId="0" fontId="11" fillId="18" borderId="3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18" borderId="10" xfId="0" applyNumberFormat="1" applyFont="1" applyFill="1" applyBorder="1" applyAlignment="1">
      <alignment horizontal="right" vertical="center" wrapText="1"/>
    </xf>
    <xf numFmtId="0" fontId="8" fillId="6" borderId="41" xfId="0" applyNumberFormat="1" applyFont="1" applyFill="1" applyBorder="1" applyAlignment="1">
      <alignment horizontal="left" vertical="center" wrapText="1"/>
    </xf>
    <xf numFmtId="0" fontId="8" fillId="6" borderId="42" xfId="0" applyNumberFormat="1" applyFont="1" applyFill="1" applyBorder="1" applyAlignment="1">
      <alignment horizontal="left" vertical="center" wrapText="1"/>
    </xf>
    <xf numFmtId="0" fontId="22" fillId="18" borderId="10" xfId="0" applyNumberFormat="1" applyFont="1" applyFill="1" applyBorder="1" applyAlignment="1">
      <alignment horizontal="right" vertical="center" wrapText="1"/>
    </xf>
    <xf numFmtId="0" fontId="0" fillId="18" borderId="10" xfId="0" applyFill="1" applyBorder="1" applyAlignment="1">
      <alignment horizontal="right" vertical="center" wrapText="1"/>
    </xf>
    <xf numFmtId="10" fontId="15" fillId="0" borderId="10" xfId="0" applyNumberFormat="1" applyFont="1" applyBorder="1" applyAlignment="1">
      <alignment vertical="center" wrapText="1"/>
    </xf>
    <xf numFmtId="170" fontId="15" fillId="0" borderId="10" xfId="0" applyNumberFormat="1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170" fontId="52" fillId="0" borderId="43" xfId="0" applyNumberFormat="1" applyFont="1" applyBorder="1" applyAlignment="1">
      <alignment horizontal="center" vertical="center" wrapText="1"/>
    </xf>
    <xf numFmtId="170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textRotation="255" wrapText="1"/>
    </xf>
    <xf numFmtId="0" fontId="15" fillId="0" borderId="0" xfId="0" applyFont="1" applyAlignment="1">
      <alignment horizontal="center" vertical="center"/>
    </xf>
    <xf numFmtId="0" fontId="19" fillId="19" borderId="30" xfId="0" applyFont="1" applyFill="1" applyBorder="1" applyAlignment="1">
      <alignment horizontal="center" vertical="center" wrapText="1"/>
    </xf>
    <xf numFmtId="0" fontId="19" fillId="19" borderId="33" xfId="0" applyFont="1" applyFill="1" applyBorder="1" applyAlignment="1">
      <alignment horizontal="center" vertical="center" wrapText="1"/>
    </xf>
    <xf numFmtId="0" fontId="19" fillId="19" borderId="14" xfId="0" applyFont="1" applyFill="1" applyBorder="1" applyAlignment="1">
      <alignment horizontal="center" vertical="center" wrapText="1"/>
    </xf>
    <xf numFmtId="168" fontId="49" fillId="0" borderId="0" xfId="0" applyNumberFormat="1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70" fontId="27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FFFFFF"/>
      <rgbColor rgb="00E6E6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="98" zoomScaleSheetLayoutView="98" zoomScalePageLayoutView="0" workbookViewId="0" topLeftCell="A20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BASECALC!I12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20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BASECALC!I10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BASECALC!I18</f>
        <v>852.8000000000001</v>
      </c>
      <c r="C49" s="227" t="s">
        <v>178</v>
      </c>
      <c r="D49" s="228"/>
      <c r="E49" s="174" t="e">
        <f>BASECALC!I17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juillet!F51+2.5</f>
        <v>11.5</v>
      </c>
      <c r="C51" s="48" t="s">
        <v>32</v>
      </c>
      <c r="D51" s="21"/>
      <c r="E51" s="47" t="s">
        <v>33</v>
      </c>
      <c r="F51" s="22">
        <f>B51-D51</f>
        <v>11.5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SheetLayoutView="100" zoomScalePageLayoutView="0" workbookViewId="0" topLeftCell="A20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49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BASECALC!J12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20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BASECALC!J10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BASECALC!J18</f>
        <v>959.4000000000001</v>
      </c>
      <c r="C49" s="227" t="s">
        <v>178</v>
      </c>
      <c r="D49" s="228"/>
      <c r="E49" s="174" t="e">
        <f>BASECALC!J17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aout!F51+2.5</f>
        <v>14</v>
      </c>
      <c r="C51" s="48" t="s">
        <v>32</v>
      </c>
      <c r="D51" s="21"/>
      <c r="E51" s="47" t="s">
        <v>33</v>
      </c>
      <c r="F51" s="22">
        <f>B51-D51</f>
        <v>14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SheetLayoutView="100" zoomScalePageLayoutView="0" workbookViewId="0" topLeftCell="A20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BASECALC!K12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20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BASECALC!K10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BASECALC!K18</f>
        <v>1066</v>
      </c>
      <c r="C49" s="227" t="s">
        <v>178</v>
      </c>
      <c r="D49" s="228"/>
      <c r="E49" s="174" t="e">
        <f>BASECALC!K17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'sept.'!F51+2.5</f>
        <v>16.5</v>
      </c>
      <c r="C51" s="48" t="s">
        <v>32</v>
      </c>
      <c r="D51" s="21"/>
      <c r="E51" s="47" t="s">
        <v>33</v>
      </c>
      <c r="F51" s="22">
        <f>B51-D51</f>
        <v>16.5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SheetLayoutView="100" zoomScalePageLayoutView="0" workbookViewId="0" topLeftCell="A28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BASECALC!L12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162</v>
      </c>
      <c r="B12" s="230"/>
      <c r="C12" s="230"/>
      <c r="D12" s="230"/>
      <c r="E12" s="230"/>
      <c r="F12" s="28">
        <f>40*E8/2</f>
        <v>0</v>
      </c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BASECALC!L10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 t="e">
        <f>F14-SUM(F17:F36)-F39-F40</f>
        <v>#DIV/0!</v>
      </c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BASECALC!L18</f>
        <v>1172.6</v>
      </c>
      <c r="C49" s="227" t="s">
        <v>178</v>
      </c>
      <c r="D49" s="228"/>
      <c r="E49" s="174" t="e">
        <f>BASECALC!L17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'oct.'!F51+2.5</f>
        <v>19</v>
      </c>
      <c r="C51" s="48" t="s">
        <v>32</v>
      </c>
      <c r="D51" s="21"/>
      <c r="E51" s="47" t="s">
        <v>33</v>
      </c>
      <c r="F51" s="22">
        <f>B51-D51</f>
        <v>19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SheetLayoutView="100" zoomScalePageLayoutView="0" workbookViewId="0" topLeftCell="A19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BASECALC!M12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162</v>
      </c>
      <c r="B12" s="230"/>
      <c r="C12" s="230"/>
      <c r="D12" s="230"/>
      <c r="E12" s="230"/>
      <c r="F12" s="28">
        <f>40*E8/2</f>
        <v>0</v>
      </c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BASECALC!M10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BASECALC!M18</f>
        <v>1279.1999999999998</v>
      </c>
      <c r="C49" s="227" t="s">
        <v>178</v>
      </c>
      <c r="D49" s="228"/>
      <c r="E49" s="174" t="e">
        <f>BASECALC!M17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'nov.'!F51+2.5</f>
        <v>21.5</v>
      </c>
      <c r="C51" s="48" t="s">
        <v>32</v>
      </c>
      <c r="D51" s="21"/>
      <c r="E51" s="47" t="s">
        <v>33</v>
      </c>
      <c r="F51" s="22">
        <f>B51-D51</f>
        <v>21.5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25">
      <selection activeCell="A26" sqref="A26"/>
    </sheetView>
  </sheetViews>
  <sheetFormatPr defaultColWidth="11.19921875" defaultRowHeight="14.25"/>
  <cols>
    <col min="1" max="1" width="23.59765625" style="106" customWidth="1"/>
    <col min="2" max="5" width="9" style="106" customWidth="1"/>
    <col min="6" max="6" width="57.5" style="106" customWidth="1"/>
    <col min="7" max="7" width="23.59765625" style="106" customWidth="1"/>
    <col min="8" max="8" width="9" style="106" customWidth="1"/>
    <col min="9" max="9" width="18" style="111" customWidth="1"/>
    <col min="10" max="10" width="9" style="112" customWidth="1"/>
    <col min="11" max="11" width="19.69921875" style="147" customWidth="1"/>
    <col min="12" max="12" width="8" style="147" customWidth="1"/>
    <col min="13" max="16384" width="9" style="106" customWidth="1"/>
  </cols>
  <sheetData>
    <row r="1" spans="1:12" s="105" customFormat="1" ht="15" customHeight="1">
      <c r="A1" s="104" t="s">
        <v>6</v>
      </c>
      <c r="B1" s="104">
        <f>G4*G5</f>
        <v>0</v>
      </c>
      <c r="E1" s="237" t="s">
        <v>92</v>
      </c>
      <c r="F1" s="106" t="s">
        <v>93</v>
      </c>
      <c r="G1" s="238" t="str">
        <f>"=0.2795/0.6*((1.6*montant annuel du smic/rémunération annuelle brute)-1)"</f>
        <v>=0.2795/0.6*((1.6*montant annuel du smic/rémunération annuelle brute)-1)</v>
      </c>
      <c r="H1" s="238"/>
      <c r="I1" s="238"/>
      <c r="J1" s="238"/>
      <c r="K1" s="147"/>
      <c r="L1" s="147"/>
    </row>
    <row r="2" spans="1:12" s="105" customFormat="1" ht="15" customHeight="1">
      <c r="A2" s="104" t="s">
        <v>94</v>
      </c>
      <c r="B2" s="104">
        <f>ROUND(B1,0)</f>
        <v>0</v>
      </c>
      <c r="E2" s="237"/>
      <c r="F2" s="105" t="s">
        <v>95</v>
      </c>
      <c r="G2" s="154"/>
      <c r="I2" s="108"/>
      <c r="J2" s="109"/>
      <c r="K2" s="147"/>
      <c r="L2" s="147"/>
    </row>
    <row r="3" spans="1:12" s="105" customFormat="1" ht="15" customHeight="1">
      <c r="A3" s="104" t="s">
        <v>96</v>
      </c>
      <c r="B3" s="104" t="e">
        <f>ROUND(0.97*(B1+(B1*BASECALC!B6)),0)</f>
        <v>#DIV/0!</v>
      </c>
      <c r="E3" s="237"/>
      <c r="F3" s="105" t="s">
        <v>121</v>
      </c>
      <c r="G3" s="107">
        <f>1607*G2</f>
        <v>0</v>
      </c>
      <c r="I3" s="108"/>
      <c r="J3" s="109"/>
      <c r="K3" s="147"/>
      <c r="L3" s="147"/>
    </row>
    <row r="4" spans="5:12" s="105" customFormat="1" ht="17.25" customHeight="1">
      <c r="E4" s="237"/>
      <c r="F4" s="132" t="s">
        <v>122</v>
      </c>
      <c r="G4" s="154"/>
      <c r="H4" s="175" t="s">
        <v>179</v>
      </c>
      <c r="I4" s="108"/>
      <c r="J4" s="109"/>
      <c r="K4" s="147"/>
      <c r="L4" s="147"/>
    </row>
    <row r="5" spans="5:12" s="105" customFormat="1" ht="15" customHeight="1">
      <c r="E5" s="237"/>
      <c r="F5" s="105" t="s">
        <v>97</v>
      </c>
      <c r="G5" s="155">
        <v>106.6</v>
      </c>
      <c r="I5" s="108"/>
      <c r="J5" s="109"/>
      <c r="K5" s="147"/>
      <c r="L5" s="147"/>
    </row>
    <row r="6" spans="5:12" s="105" customFormat="1" ht="30" customHeight="1">
      <c r="E6" s="237"/>
      <c r="F6" s="132" t="s">
        <v>134</v>
      </c>
      <c r="G6" s="105" t="e">
        <f>0.2795/0.6*((1.6*((G2*G5*12)/(G5*G4*12)))-1)</f>
        <v>#DIV/0!</v>
      </c>
      <c r="I6" s="108"/>
      <c r="J6" s="109"/>
      <c r="K6" s="147"/>
      <c r="L6" s="147"/>
    </row>
    <row r="7" spans="5:12" s="105" customFormat="1" ht="15" customHeight="1">
      <c r="E7" s="237"/>
      <c r="F7" s="110" t="s">
        <v>176</v>
      </c>
      <c r="G7" s="110" t="e">
        <f>IF(G6&lt;=0.281,G6,0.281)</f>
        <v>#DIV/0!</v>
      </c>
      <c r="I7" s="108"/>
      <c r="J7" s="109"/>
      <c r="K7" s="147"/>
      <c r="L7" s="147"/>
    </row>
    <row r="8" spans="7:12" s="105" customFormat="1" ht="15">
      <c r="G8" s="139"/>
      <c r="H8" s="139"/>
      <c r="I8" s="108"/>
      <c r="J8" s="109"/>
      <c r="K8" s="147"/>
      <c r="L8" s="147"/>
    </row>
    <row r="9" ht="15.75" thickBot="1"/>
    <row r="10" spans="1:12" ht="13.5" customHeight="1" thickBot="1">
      <c r="A10" s="243" t="s">
        <v>98</v>
      </c>
      <c r="B10" s="244"/>
      <c r="C10" s="244"/>
      <c r="D10" s="245"/>
      <c r="F10" s="243" t="s">
        <v>99</v>
      </c>
      <c r="G10" s="244"/>
      <c r="H10" s="244"/>
      <c r="I10" s="244"/>
      <c r="J10" s="245"/>
      <c r="K10" s="233" t="s">
        <v>146</v>
      </c>
      <c r="L10" s="233"/>
    </row>
    <row r="11" spans="11:12" ht="12.75" customHeight="1">
      <c r="K11" s="233"/>
      <c r="L11" s="233"/>
    </row>
    <row r="12" spans="2:12" ht="38.25">
      <c r="B12" s="113" t="s">
        <v>52</v>
      </c>
      <c r="C12" s="113" t="s">
        <v>53</v>
      </c>
      <c r="D12" s="114" t="s">
        <v>100</v>
      </c>
      <c r="F12" s="114" t="s">
        <v>101</v>
      </c>
      <c r="G12" s="114" t="s">
        <v>102</v>
      </c>
      <c r="H12" s="114" t="s">
        <v>100</v>
      </c>
      <c r="I12" s="115" t="s">
        <v>103</v>
      </c>
      <c r="J12" s="116" t="s">
        <v>104</v>
      </c>
      <c r="K12" s="233"/>
      <c r="L12" s="233"/>
    </row>
    <row r="13" spans="1:12" ht="15" customHeight="1">
      <c r="A13" s="52" t="s">
        <v>76</v>
      </c>
      <c r="B13" s="117">
        <f>BASECALC!C30</f>
        <v>0.1284</v>
      </c>
      <c r="C13" s="117">
        <f>BASECALC!D30</f>
        <v>0.0075</v>
      </c>
      <c r="D13" s="118">
        <v>1</v>
      </c>
      <c r="F13" s="246" t="s">
        <v>105</v>
      </c>
      <c r="G13" s="119" t="s">
        <v>76</v>
      </c>
      <c r="H13" s="119">
        <v>1</v>
      </c>
      <c r="I13" s="231">
        <f>SUM(B13:C14)</f>
        <v>0.15789999999999998</v>
      </c>
      <c r="J13" s="232">
        <f>ROUNDUP(($B$2*I13),0)</f>
        <v>0</v>
      </c>
      <c r="K13" s="234" t="s">
        <v>147</v>
      </c>
      <c r="L13" s="235">
        <f>SUM(J13:J15)</f>
        <v>0</v>
      </c>
    </row>
    <row r="14" spans="1:12" ht="15" customHeight="1">
      <c r="A14" s="52" t="s">
        <v>79</v>
      </c>
      <c r="B14" s="117">
        <f>BASECALC!C31</f>
        <v>0.0185</v>
      </c>
      <c r="C14" s="117">
        <f>BASECALC!D31</f>
        <v>0.0035</v>
      </c>
      <c r="D14" s="118">
        <v>2</v>
      </c>
      <c r="F14" s="246"/>
      <c r="G14" s="119" t="s">
        <v>79</v>
      </c>
      <c r="H14" s="119">
        <v>2</v>
      </c>
      <c r="I14" s="231"/>
      <c r="J14" s="232"/>
      <c r="K14" s="234"/>
      <c r="L14" s="236"/>
    </row>
    <row r="15" spans="1:12" ht="12.75" customHeight="1">
      <c r="A15" s="52" t="s">
        <v>78</v>
      </c>
      <c r="B15" s="117">
        <f>BASECALC!C32</f>
        <v>0.0855</v>
      </c>
      <c r="C15" s="117">
        <f>BASECALC!D32</f>
        <v>0.069</v>
      </c>
      <c r="D15" s="118">
        <v>3</v>
      </c>
      <c r="F15" s="119" t="s">
        <v>106</v>
      </c>
      <c r="G15" s="52" t="s">
        <v>78</v>
      </c>
      <c r="H15" s="119">
        <v>3</v>
      </c>
      <c r="I15" s="120">
        <f>SUM(B15:C15)</f>
        <v>0.15450000000000003</v>
      </c>
      <c r="J15" s="121">
        <f>ROUNDUP(($B$2*I15),0)</f>
        <v>0</v>
      </c>
      <c r="K15" s="234"/>
      <c r="L15" s="236"/>
    </row>
    <row r="16" spans="1:12" ht="15">
      <c r="A16" s="52" t="s">
        <v>80</v>
      </c>
      <c r="B16" s="117">
        <f>BASECALC!C33</f>
        <v>0.0309</v>
      </c>
      <c r="C16" s="117">
        <f>BASECALC!D33</f>
        <v>0</v>
      </c>
      <c r="D16" s="118">
        <v>4</v>
      </c>
      <c r="F16" s="122" t="s">
        <v>107</v>
      </c>
      <c r="G16" s="123"/>
      <c r="H16" s="123"/>
      <c r="I16" s="124" t="e">
        <f>-G7</f>
        <v>#DIV/0!</v>
      </c>
      <c r="J16" s="167" t="e">
        <f>ROUND(($B$2*I16),0)</f>
        <v>#DIV/0!</v>
      </c>
      <c r="K16" s="148" t="s">
        <v>148</v>
      </c>
      <c r="L16" s="148" t="e">
        <f>J16</f>
        <v>#DIV/0!</v>
      </c>
    </row>
    <row r="17" spans="1:11" ht="15">
      <c r="A17" s="52" t="s">
        <v>37</v>
      </c>
      <c r="B17" s="117">
        <f>BASECALC!C34</f>
        <v>0.0345</v>
      </c>
      <c r="C17" s="117">
        <f>BASECALC!D34</f>
        <v>0</v>
      </c>
      <c r="D17" s="118">
        <v>5</v>
      </c>
      <c r="F17" s="246" t="s">
        <v>108</v>
      </c>
      <c r="G17" s="52" t="s">
        <v>18</v>
      </c>
      <c r="H17" s="119">
        <v>20</v>
      </c>
      <c r="I17" s="231">
        <f>SUM(B34:C36)</f>
        <v>0.08</v>
      </c>
      <c r="J17" s="247" t="e">
        <f>ROUNDUP(($B$3*I17),0)</f>
        <v>#DIV/0!</v>
      </c>
      <c r="K17" s="148"/>
    </row>
    <row r="18" spans="1:13" ht="15">
      <c r="A18" s="52" t="s">
        <v>81</v>
      </c>
      <c r="B18" s="117">
        <f>BASECALC!C35</f>
        <v>0.0042</v>
      </c>
      <c r="C18" s="117"/>
      <c r="D18" s="118">
        <v>6</v>
      </c>
      <c r="F18" s="246"/>
      <c r="G18" s="52" t="s">
        <v>19</v>
      </c>
      <c r="H18" s="119">
        <v>21</v>
      </c>
      <c r="I18" s="231"/>
      <c r="J18" s="247"/>
      <c r="K18" s="148" t="s">
        <v>149</v>
      </c>
      <c r="L18" s="148">
        <f>SUM(J25:J35)</f>
        <v>0</v>
      </c>
      <c r="M18" s="149">
        <f>SUM(I25:I35)</f>
        <v>0.09581999999999999</v>
      </c>
    </row>
    <row r="19" spans="1:12" ht="25.5">
      <c r="A19" s="52" t="s">
        <v>165</v>
      </c>
      <c r="B19" s="117">
        <f>BASECALC!C36</f>
        <v>0.00016</v>
      </c>
      <c r="C19" s="117"/>
      <c r="D19" s="118"/>
      <c r="F19" s="119" t="s">
        <v>109</v>
      </c>
      <c r="G19" s="52" t="s">
        <v>77</v>
      </c>
      <c r="H19" s="119">
        <v>17</v>
      </c>
      <c r="I19" s="120">
        <f>SUM(B31:C31)</f>
        <v>0.003</v>
      </c>
      <c r="J19" s="121">
        <f>ROUNDUP(($B$2*I19),0)</f>
        <v>0</v>
      </c>
      <c r="K19" s="148" t="s">
        <v>150</v>
      </c>
      <c r="L19" s="148">
        <f>J36</f>
        <v>27</v>
      </c>
    </row>
    <row r="20" spans="1:12" ht="25.5">
      <c r="A20" s="52" t="s">
        <v>166</v>
      </c>
      <c r="B20" s="117">
        <f>BASECALC!C37</f>
        <v>0</v>
      </c>
      <c r="C20" s="117"/>
      <c r="D20" s="118"/>
      <c r="F20" s="119" t="s">
        <v>110</v>
      </c>
      <c r="G20" s="52" t="s">
        <v>82</v>
      </c>
      <c r="H20" s="119">
        <v>8</v>
      </c>
      <c r="I20" s="120">
        <f>SUM(B22:C22)</f>
        <v>0.064</v>
      </c>
      <c r="J20" s="121">
        <f>ROUNDUP(($B$2*I20),0)</f>
        <v>0</v>
      </c>
      <c r="K20" s="151" t="s">
        <v>151</v>
      </c>
      <c r="L20" s="151" t="e">
        <f>SUM(L13:L19)</f>
        <v>#DIV/0!</v>
      </c>
    </row>
    <row r="21" spans="1:12" ht="25.5">
      <c r="A21" s="52" t="s">
        <v>38</v>
      </c>
      <c r="B21" s="117">
        <f>BASECALC!C38</f>
        <v>0.001</v>
      </c>
      <c r="C21" s="117"/>
      <c r="D21" s="118">
        <v>7</v>
      </c>
      <c r="F21" s="119" t="s">
        <v>111</v>
      </c>
      <c r="G21" s="52" t="s">
        <v>83</v>
      </c>
      <c r="H21" s="119">
        <v>9</v>
      </c>
      <c r="I21" s="120">
        <f>SUM(B23:C23)</f>
        <v>0.0025</v>
      </c>
      <c r="J21" s="121">
        <f>ROUNDUP(($B$2*I21),0)</f>
        <v>0</v>
      </c>
      <c r="K21" s="148" t="s">
        <v>152</v>
      </c>
      <c r="L21" s="148" t="e">
        <f>J17</f>
        <v>#DIV/0!</v>
      </c>
    </row>
    <row r="22" spans="1:12" ht="30">
      <c r="A22" s="52" t="s">
        <v>82</v>
      </c>
      <c r="B22" s="117">
        <f>BASECALC!C39</f>
        <v>0.04</v>
      </c>
      <c r="C22" s="117">
        <f>BASECALC!D39</f>
        <v>0.024</v>
      </c>
      <c r="D22" s="118">
        <v>8</v>
      </c>
      <c r="F22" s="119" t="s">
        <v>112</v>
      </c>
      <c r="G22" s="52" t="s">
        <v>84</v>
      </c>
      <c r="H22" s="119">
        <v>13</v>
      </c>
      <c r="I22" s="120">
        <f>SUM(B27:C27)</f>
        <v>0.0775</v>
      </c>
      <c r="J22" s="121">
        <f>ROUNDUP(($B$2*I22),0)</f>
        <v>0</v>
      </c>
      <c r="K22" s="148" t="s">
        <v>153</v>
      </c>
      <c r="L22" s="148">
        <f>J19</f>
        <v>0</v>
      </c>
    </row>
    <row r="23" spans="1:12" ht="30">
      <c r="A23" s="52" t="s">
        <v>83</v>
      </c>
      <c r="B23" s="117">
        <f>BASECALC!C40</f>
        <v>0.0025</v>
      </c>
      <c r="C23" s="117"/>
      <c r="D23" s="118">
        <v>9</v>
      </c>
      <c r="F23" s="119" t="s">
        <v>113</v>
      </c>
      <c r="G23" s="52" t="s">
        <v>85</v>
      </c>
      <c r="H23" s="119">
        <v>14</v>
      </c>
      <c r="I23" s="120">
        <f>SUM(B28:C28)</f>
        <v>0.02</v>
      </c>
      <c r="J23" s="121">
        <f>ROUNDUP(($B$2*I23),0)</f>
        <v>0</v>
      </c>
      <c r="K23" s="148" t="s">
        <v>154</v>
      </c>
      <c r="L23" s="148">
        <f>J20</f>
        <v>0</v>
      </c>
    </row>
    <row r="24" spans="1:12" ht="30">
      <c r="A24" s="52" t="s">
        <v>87</v>
      </c>
      <c r="B24" s="117">
        <f>BASECALC!C41</f>
        <v>0.002</v>
      </c>
      <c r="C24" s="117"/>
      <c r="D24" s="118">
        <v>10</v>
      </c>
      <c r="F24" s="239" t="s">
        <v>114</v>
      </c>
      <c r="G24" s="240"/>
      <c r="H24" s="240"/>
      <c r="I24" s="240"/>
      <c r="J24" s="241"/>
      <c r="K24" s="148" t="s">
        <v>155</v>
      </c>
      <c r="L24" s="148">
        <f>J21</f>
        <v>0</v>
      </c>
    </row>
    <row r="25" spans="1:12" ht="25.5">
      <c r="A25" s="52" t="s">
        <v>172</v>
      </c>
      <c r="B25" s="117">
        <f>BASECALC!C42</f>
        <v>0.0035</v>
      </c>
      <c r="C25" s="117">
        <f>BASECALC!D42</f>
        <v>0.0006000000000000001</v>
      </c>
      <c r="D25" s="118">
        <v>11</v>
      </c>
      <c r="F25" s="52" t="s">
        <v>80</v>
      </c>
      <c r="G25" s="52" t="s">
        <v>80</v>
      </c>
      <c r="H25" s="119">
        <v>4</v>
      </c>
      <c r="I25" s="120">
        <f aca="true" t="shared" si="0" ref="I25:I30">SUM(B16:C16)</f>
        <v>0.0309</v>
      </c>
      <c r="J25" s="121">
        <f aca="true" t="shared" si="1" ref="J25:J35">ROUNDUP(($B$2*I25),0)</f>
        <v>0</v>
      </c>
      <c r="K25" s="151" t="s">
        <v>156</v>
      </c>
      <c r="L25" s="151" t="e">
        <f>SUM(L21:L24)</f>
        <v>#DIV/0!</v>
      </c>
    </row>
    <row r="26" spans="1:12" ht="30">
      <c r="A26" s="52" t="s">
        <v>180</v>
      </c>
      <c r="B26" s="117">
        <f>BASECALC!C43</f>
        <v>0.00016</v>
      </c>
      <c r="C26" s="117">
        <f>BASECALC!D43</f>
        <v>0</v>
      </c>
      <c r="D26" s="118">
        <v>12</v>
      </c>
      <c r="F26" s="52" t="s">
        <v>37</v>
      </c>
      <c r="G26" s="52" t="s">
        <v>37</v>
      </c>
      <c r="H26" s="119">
        <v>5</v>
      </c>
      <c r="I26" s="120">
        <f t="shared" si="0"/>
        <v>0.0345</v>
      </c>
      <c r="J26" s="121">
        <f t="shared" si="1"/>
        <v>0</v>
      </c>
      <c r="K26" s="147" t="s">
        <v>157</v>
      </c>
      <c r="L26" s="148">
        <f>J22</f>
        <v>0</v>
      </c>
    </row>
    <row r="27" spans="1:12" ht="30">
      <c r="A27" s="52" t="s">
        <v>84</v>
      </c>
      <c r="B27" s="117">
        <f>BASECALC!C44</f>
        <v>0.03875</v>
      </c>
      <c r="C27" s="117">
        <f>BASECALC!D44</f>
        <v>0.03875</v>
      </c>
      <c r="D27" s="118">
        <v>13</v>
      </c>
      <c r="F27" s="52" t="s">
        <v>81</v>
      </c>
      <c r="G27" s="52" t="s">
        <v>81</v>
      </c>
      <c r="H27" s="119">
        <v>6</v>
      </c>
      <c r="I27" s="120">
        <f t="shared" si="0"/>
        <v>0.0042</v>
      </c>
      <c r="J27" s="121">
        <f t="shared" si="1"/>
        <v>0</v>
      </c>
      <c r="K27" s="147" t="s">
        <v>158</v>
      </c>
      <c r="L27" s="148">
        <f>J23</f>
        <v>0</v>
      </c>
    </row>
    <row r="28" spans="1:12" ht="25.5">
      <c r="A28" s="52" t="s">
        <v>85</v>
      </c>
      <c r="B28" s="117">
        <f>BASECALC!C45</f>
        <v>0.012</v>
      </c>
      <c r="C28" s="117">
        <f>BASECALC!D45</f>
        <v>0.008</v>
      </c>
      <c r="D28" s="118">
        <v>14</v>
      </c>
      <c r="F28" s="52" t="s">
        <v>165</v>
      </c>
      <c r="G28" s="52"/>
      <c r="H28" s="119"/>
      <c r="I28" s="120">
        <f t="shared" si="0"/>
        <v>0.00016</v>
      </c>
      <c r="J28" s="121">
        <f t="shared" si="1"/>
        <v>0</v>
      </c>
      <c r="L28" s="148"/>
    </row>
    <row r="29" spans="1:12" ht="15">
      <c r="A29" s="52" t="s">
        <v>89</v>
      </c>
      <c r="B29" s="117">
        <f>BASECALC!C46</f>
        <v>0.0022</v>
      </c>
      <c r="C29" s="117">
        <f>BASECALC!D46</f>
        <v>0.0011</v>
      </c>
      <c r="D29" s="118">
        <v>15</v>
      </c>
      <c r="F29" s="52" t="s">
        <v>166</v>
      </c>
      <c r="G29" s="52"/>
      <c r="H29" s="119"/>
      <c r="I29" s="120">
        <f t="shared" si="0"/>
        <v>0</v>
      </c>
      <c r="J29" s="121">
        <f t="shared" si="1"/>
        <v>0</v>
      </c>
      <c r="L29" s="148"/>
    </row>
    <row r="30" spans="1:12" ht="15">
      <c r="A30" s="52" t="s">
        <v>90</v>
      </c>
      <c r="B30" s="117">
        <f>BASECALC!C47</f>
        <v>0.0089</v>
      </c>
      <c r="C30" s="117">
        <f>BASECALC!D47</f>
        <v>0.0066</v>
      </c>
      <c r="D30" s="118">
        <v>16</v>
      </c>
      <c r="F30" s="52" t="s">
        <v>38</v>
      </c>
      <c r="G30" s="52" t="s">
        <v>38</v>
      </c>
      <c r="H30" s="119">
        <v>7</v>
      </c>
      <c r="I30" s="120">
        <f t="shared" si="0"/>
        <v>0.001</v>
      </c>
      <c r="J30" s="121">
        <f t="shared" si="1"/>
        <v>0</v>
      </c>
      <c r="K30" s="151" t="s">
        <v>159</v>
      </c>
      <c r="L30" s="151">
        <f>SUM(L26:L27)</f>
        <v>0</v>
      </c>
    </row>
    <row r="31" spans="1:12" ht="15">
      <c r="A31" s="52" t="s">
        <v>77</v>
      </c>
      <c r="B31" s="117">
        <f>BASECALC!C48</f>
        <v>0.003</v>
      </c>
      <c r="C31" s="117"/>
      <c r="D31" s="118">
        <v>17</v>
      </c>
      <c r="F31" s="52" t="s">
        <v>87</v>
      </c>
      <c r="G31" s="52" t="s">
        <v>87</v>
      </c>
      <c r="H31" s="119">
        <v>10</v>
      </c>
      <c r="I31" s="120">
        <f>SUM(B24:C24)</f>
        <v>0.002</v>
      </c>
      <c r="J31" s="121">
        <f t="shared" si="1"/>
        <v>0</v>
      </c>
      <c r="K31" s="151" t="s">
        <v>160</v>
      </c>
      <c r="L31" s="151" t="e">
        <f>L25+L20</f>
        <v>#DIV/0!</v>
      </c>
    </row>
    <row r="32" spans="1:12" ht="25.5">
      <c r="A32" s="52" t="s">
        <v>117</v>
      </c>
      <c r="B32" s="140">
        <f>BASECALC!C49</f>
        <v>13.5</v>
      </c>
      <c r="C32" s="140">
        <f>BASECALC!D49</f>
        <v>13.5</v>
      </c>
      <c r="D32" s="118">
        <v>18</v>
      </c>
      <c r="F32" s="52" t="s">
        <v>88</v>
      </c>
      <c r="G32" s="52" t="s">
        <v>88</v>
      </c>
      <c r="H32" s="119">
        <v>11</v>
      </c>
      <c r="I32" s="120">
        <f>SUM(B25:C25)</f>
        <v>0.0041</v>
      </c>
      <c r="J32" s="121">
        <f t="shared" si="1"/>
        <v>0</v>
      </c>
      <c r="K32" s="150" t="s">
        <v>161</v>
      </c>
      <c r="L32" s="151" t="e">
        <f>+L30+L31</f>
        <v>#DIV/0!</v>
      </c>
    </row>
    <row r="33" spans="1:10" ht="15">
      <c r="A33" s="52"/>
      <c r="B33" s="117"/>
      <c r="C33" s="117"/>
      <c r="D33" s="118"/>
      <c r="F33" s="52" t="s">
        <v>86</v>
      </c>
      <c r="G33" s="52" t="s">
        <v>86</v>
      </c>
      <c r="H33" s="119">
        <v>12</v>
      </c>
      <c r="I33" s="120">
        <f>SUM(B26:C26)</f>
        <v>0.00016</v>
      </c>
      <c r="J33" s="121">
        <f t="shared" si="1"/>
        <v>0</v>
      </c>
    </row>
    <row r="34" spans="1:10" ht="15">
      <c r="A34" s="52" t="s">
        <v>16</v>
      </c>
      <c r="B34" s="117"/>
      <c r="C34" s="117">
        <f>BASECALC!D53</f>
        <v>0.051</v>
      </c>
      <c r="D34" s="118">
        <v>19</v>
      </c>
      <c r="F34" s="52" t="s">
        <v>89</v>
      </c>
      <c r="G34" s="52" t="s">
        <v>89</v>
      </c>
      <c r="H34" s="119">
        <v>15</v>
      </c>
      <c r="I34" s="120">
        <f>SUM(B29:C29)</f>
        <v>0.0033</v>
      </c>
      <c r="J34" s="121">
        <f t="shared" si="1"/>
        <v>0</v>
      </c>
    </row>
    <row r="35" spans="1:10" ht="15">
      <c r="A35" s="52" t="s">
        <v>18</v>
      </c>
      <c r="B35" s="117"/>
      <c r="C35" s="117">
        <f>BASECALC!D54</f>
        <v>0.024</v>
      </c>
      <c r="D35" s="118">
        <v>20</v>
      </c>
      <c r="F35" s="52" t="s">
        <v>90</v>
      </c>
      <c r="G35" s="52" t="s">
        <v>90</v>
      </c>
      <c r="H35" s="119">
        <v>16</v>
      </c>
      <c r="I35" s="120">
        <f>SUM(B30:C30)</f>
        <v>0.0155</v>
      </c>
      <c r="J35" s="121">
        <f t="shared" si="1"/>
        <v>0</v>
      </c>
    </row>
    <row r="36" spans="1:10" ht="15">
      <c r="A36" s="52" t="s">
        <v>19</v>
      </c>
      <c r="B36" s="117"/>
      <c r="C36" s="117">
        <f>BASECALC!D55</f>
        <v>0.005</v>
      </c>
      <c r="D36" s="118">
        <v>21</v>
      </c>
      <c r="F36" s="118" t="s">
        <v>117</v>
      </c>
      <c r="G36" s="118"/>
      <c r="H36" s="118"/>
      <c r="I36" s="125"/>
      <c r="J36" s="126">
        <f>BASECALC!C49+BASECALC!D49</f>
        <v>27</v>
      </c>
    </row>
    <row r="37" spans="1:10" ht="15">
      <c r="A37" s="127"/>
      <c r="F37" s="105" t="s">
        <v>115</v>
      </c>
      <c r="G37" s="105"/>
      <c r="H37" s="105"/>
      <c r="I37" s="108" t="e">
        <f>SUM(I13:I36)-I16</f>
        <v>#DIV/0!</v>
      </c>
      <c r="J37" s="107" t="e">
        <f>SUM(J13:J36)</f>
        <v>#DIV/0!</v>
      </c>
    </row>
    <row r="38" spans="1:4" ht="15">
      <c r="A38" s="127" t="s">
        <v>123</v>
      </c>
      <c r="B38" s="133">
        <f>SUM(B13:B31)</f>
        <v>0.41616999999999993</v>
      </c>
      <c r="C38" s="133">
        <f>SUM(C13:C31)+SUM(C34:C36)</f>
        <v>0.23904999999999998</v>
      </c>
      <c r="D38" s="111">
        <f>B38+C38</f>
        <v>0.6552199999999999</v>
      </c>
    </row>
    <row r="39" spans="1:3" ht="15">
      <c r="A39" s="106" t="s">
        <v>124</v>
      </c>
      <c r="B39" s="134">
        <f>$B$2*B38</f>
        <v>0</v>
      </c>
      <c r="C39" s="134">
        <f>$B$2*C38</f>
        <v>0</v>
      </c>
    </row>
    <row r="40" spans="1:6" ht="25.5">
      <c r="A40" s="132" t="s">
        <v>125</v>
      </c>
      <c r="B40" s="135">
        <f>B39+B32</f>
        <v>13.5</v>
      </c>
      <c r="C40" s="135">
        <f>C39+C32</f>
        <v>13.5</v>
      </c>
      <c r="F40" s="141" t="s">
        <v>135</v>
      </c>
    </row>
    <row r="41" spans="1:6" ht="15">
      <c r="A41" s="127" t="s">
        <v>126</v>
      </c>
      <c r="B41" s="136"/>
      <c r="C41" s="133">
        <f>SUM(C34:C36)</f>
        <v>0.08</v>
      </c>
      <c r="F41" s="141" t="s">
        <v>136</v>
      </c>
    </row>
    <row r="42" spans="1:6" ht="15">
      <c r="A42" s="106" t="s">
        <v>127</v>
      </c>
      <c r="B42" s="136"/>
      <c r="C42" s="134" t="e">
        <f>B3*C41</f>
        <v>#DIV/0!</v>
      </c>
      <c r="F42" s="141" t="s">
        <v>137</v>
      </c>
    </row>
    <row r="43" spans="2:3" ht="15">
      <c r="B43" s="136"/>
      <c r="C43" s="134"/>
    </row>
    <row r="44" spans="1:3" ht="25.5">
      <c r="A44" s="132" t="s">
        <v>128</v>
      </c>
      <c r="B44" s="136"/>
      <c r="C44" s="134"/>
    </row>
    <row r="45" spans="1:3" ht="15">
      <c r="A45" s="106" t="s">
        <v>129</v>
      </c>
      <c r="B45" s="137" t="e">
        <f>J16</f>
        <v>#DIV/0!</v>
      </c>
      <c r="C45" s="134"/>
    </row>
    <row r="46" spans="1:3" ht="15">
      <c r="A46" s="106" t="s">
        <v>130</v>
      </c>
      <c r="B46" s="137"/>
      <c r="C46" s="134"/>
    </row>
    <row r="47" spans="1:3" ht="25.5">
      <c r="A47" s="132" t="s">
        <v>131</v>
      </c>
      <c r="B47" s="134" t="e">
        <f>B39+B45+B46</f>
        <v>#DIV/0!</v>
      </c>
      <c r="C47" s="134"/>
    </row>
    <row r="48" spans="1:3" ht="25.5">
      <c r="A48" s="132" t="s">
        <v>132</v>
      </c>
      <c r="B48" s="242" t="e">
        <f>B40+C40+C42+B45+B46+C45+C46</f>
        <v>#DIV/0!</v>
      </c>
      <c r="C48" s="242"/>
    </row>
    <row r="50" spans="1:3" ht="15">
      <c r="A50" s="106" t="s">
        <v>133</v>
      </c>
      <c r="C50" s="138" t="e">
        <f>(B39+C39+C42+J16+J36)-J37</f>
        <v>#DIV/0!</v>
      </c>
    </row>
    <row r="51" spans="1:3" ht="15">
      <c r="A51" s="141" t="s">
        <v>138</v>
      </c>
      <c r="C51" s="138" t="e">
        <f>B48-J37</f>
        <v>#DIV/0!</v>
      </c>
    </row>
  </sheetData>
  <sheetProtection/>
  <mergeCells count="15">
    <mergeCell ref="E1:E7"/>
    <mergeCell ref="G1:J1"/>
    <mergeCell ref="F24:J24"/>
    <mergeCell ref="B48:C48"/>
    <mergeCell ref="A10:D10"/>
    <mergeCell ref="F10:J10"/>
    <mergeCell ref="F17:F18"/>
    <mergeCell ref="I17:I18"/>
    <mergeCell ref="J17:J18"/>
    <mergeCell ref="F13:F14"/>
    <mergeCell ref="I13:I14"/>
    <mergeCell ref="J13:J14"/>
    <mergeCell ref="K10:L12"/>
    <mergeCell ref="K13:K15"/>
    <mergeCell ref="L13:L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20">
      <selection activeCell="C30" sqref="C30:D49"/>
    </sheetView>
  </sheetViews>
  <sheetFormatPr defaultColWidth="11" defaultRowHeight="14.25"/>
  <cols>
    <col min="1" max="1" width="25" style="51" customWidth="1"/>
    <col min="2" max="2" width="12.09765625" style="51" customWidth="1"/>
    <col min="3" max="13" width="11" style="50" customWidth="1"/>
    <col min="14" max="14" width="15.59765625" style="50" customWidth="1"/>
    <col min="15" max="15" width="11.5" style="50" bestFit="1" customWidth="1"/>
    <col min="16" max="16" width="12.59765625" style="50" bestFit="1" customWidth="1"/>
    <col min="17" max="16384" width="11" style="50" customWidth="1"/>
  </cols>
  <sheetData>
    <row r="1" spans="1:13" ht="14.25">
      <c r="A1" s="196" t="s">
        <v>11</v>
      </c>
      <c r="B1" s="65" t="s">
        <v>39</v>
      </c>
      <c r="C1" s="66" t="s">
        <v>40</v>
      </c>
      <c r="D1" s="66" t="s">
        <v>41</v>
      </c>
      <c r="E1" s="66" t="s">
        <v>42</v>
      </c>
      <c r="F1" s="66" t="s">
        <v>43</v>
      </c>
      <c r="G1" s="66" t="s">
        <v>44</v>
      </c>
      <c r="H1" s="66" t="s">
        <v>45</v>
      </c>
      <c r="I1" s="66" t="s">
        <v>46</v>
      </c>
      <c r="J1" s="66" t="s">
        <v>47</v>
      </c>
      <c r="K1" s="66" t="s">
        <v>48</v>
      </c>
      <c r="L1" s="66" t="s">
        <v>49</v>
      </c>
      <c r="M1" s="66" t="s">
        <v>50</v>
      </c>
    </row>
    <row r="2" spans="1:13" ht="15" thickBot="1">
      <c r="A2" s="197"/>
      <c r="B2" s="6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0" customFormat="1" ht="14.25">
      <c r="A3" s="68" t="s">
        <v>12</v>
      </c>
      <c r="B3" s="69">
        <f>janvier!F14</f>
        <v>0</v>
      </c>
      <c r="C3" s="60">
        <f>fevrier!F14</f>
        <v>0</v>
      </c>
      <c r="D3" s="60">
        <f>mars!F14</f>
        <v>0</v>
      </c>
      <c r="E3" s="60">
        <f>avril!F14</f>
        <v>0</v>
      </c>
      <c r="F3" s="60">
        <f>mai!F14</f>
        <v>0</v>
      </c>
      <c r="G3" s="60">
        <f>juin!F14</f>
        <v>0</v>
      </c>
      <c r="H3" s="60">
        <f>juillet!F14</f>
        <v>0</v>
      </c>
      <c r="I3" s="60">
        <f>aout!F14</f>
        <v>0</v>
      </c>
      <c r="J3" s="60">
        <f>'sept.'!F14</f>
        <v>0</v>
      </c>
      <c r="K3" s="60">
        <f>'oct.'!F14</f>
        <v>0</v>
      </c>
      <c r="L3" s="60">
        <f>'nov.'!F14</f>
        <v>0</v>
      </c>
      <c r="M3" s="60">
        <f>'dec.'!F14</f>
        <v>0</v>
      </c>
    </row>
    <row r="4" spans="1:13" ht="14.25">
      <c r="A4" s="66" t="s">
        <v>13</v>
      </c>
      <c r="B4" s="71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4.25">
      <c r="A5" s="72" t="s">
        <v>14</v>
      </c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ht="25.5">
      <c r="A6" s="75" t="s">
        <v>15</v>
      </c>
      <c r="B6" s="76" t="e">
        <f>$C$46+$C$47+($C$49/B3)</f>
        <v>#DIV/0!</v>
      </c>
      <c r="C6" s="76" t="e">
        <f aca="true" t="shared" si="0" ref="C6:M6">$C$46+$C$47+($C$49/C3)</f>
        <v>#DIV/0!</v>
      </c>
      <c r="D6" s="76" t="e">
        <f t="shared" si="0"/>
        <v>#DIV/0!</v>
      </c>
      <c r="E6" s="76" t="e">
        <f t="shared" si="0"/>
        <v>#DIV/0!</v>
      </c>
      <c r="F6" s="76" t="e">
        <f t="shared" si="0"/>
        <v>#DIV/0!</v>
      </c>
      <c r="G6" s="76" t="e">
        <f t="shared" si="0"/>
        <v>#DIV/0!</v>
      </c>
      <c r="H6" s="76" t="e">
        <f t="shared" si="0"/>
        <v>#DIV/0!</v>
      </c>
      <c r="I6" s="76" t="e">
        <f t="shared" si="0"/>
        <v>#DIV/0!</v>
      </c>
      <c r="J6" s="76" t="e">
        <f t="shared" si="0"/>
        <v>#DIV/0!</v>
      </c>
      <c r="K6" s="76" t="e">
        <f t="shared" si="0"/>
        <v>#DIV/0!</v>
      </c>
      <c r="L6" s="76" t="e">
        <f t="shared" si="0"/>
        <v>#DIV/0!</v>
      </c>
      <c r="M6" s="76" t="e">
        <f t="shared" si="0"/>
        <v>#DIV/0!</v>
      </c>
      <c r="N6" s="77"/>
    </row>
    <row r="7" spans="1:14" ht="25.5">
      <c r="A7" s="75" t="s">
        <v>66</v>
      </c>
      <c r="B7" s="71" t="e">
        <f aca="true" t="shared" si="1" ref="B7:M7">B6*B3</f>
        <v>#DIV/0!</v>
      </c>
      <c r="C7" s="71" t="e">
        <f t="shared" si="1"/>
        <v>#DIV/0!</v>
      </c>
      <c r="D7" s="71" t="e">
        <f t="shared" si="1"/>
        <v>#DIV/0!</v>
      </c>
      <c r="E7" s="71" t="e">
        <f t="shared" si="1"/>
        <v>#DIV/0!</v>
      </c>
      <c r="F7" s="71" t="e">
        <f t="shared" si="1"/>
        <v>#DIV/0!</v>
      </c>
      <c r="G7" s="71" t="e">
        <f t="shared" si="1"/>
        <v>#DIV/0!</v>
      </c>
      <c r="H7" s="71" t="e">
        <f t="shared" si="1"/>
        <v>#DIV/0!</v>
      </c>
      <c r="I7" s="71" t="e">
        <f t="shared" si="1"/>
        <v>#DIV/0!</v>
      </c>
      <c r="J7" s="71" t="e">
        <f t="shared" si="1"/>
        <v>#DIV/0!</v>
      </c>
      <c r="K7" s="71" t="e">
        <f t="shared" si="1"/>
        <v>#DIV/0!</v>
      </c>
      <c r="L7" s="71" t="e">
        <f t="shared" si="1"/>
        <v>#DIV/0!</v>
      </c>
      <c r="M7" s="71" t="e">
        <f t="shared" si="1"/>
        <v>#DIV/0!</v>
      </c>
      <c r="N7" s="77"/>
    </row>
    <row r="8" spans="1:13" ht="14.25">
      <c r="A8" s="66" t="s">
        <v>163</v>
      </c>
      <c r="B8" s="157">
        <v>0.0175</v>
      </c>
      <c r="C8" s="157">
        <v>0.0175</v>
      </c>
      <c r="D8" s="157">
        <v>0.0175</v>
      </c>
      <c r="E8" s="157">
        <v>0.0175</v>
      </c>
      <c r="F8" s="157">
        <v>0.0175</v>
      </c>
      <c r="G8" s="157">
        <v>0.0175</v>
      </c>
      <c r="H8" s="157">
        <v>0.0175</v>
      </c>
      <c r="I8" s="157">
        <v>0.0175</v>
      </c>
      <c r="J8" s="157">
        <v>0.0175</v>
      </c>
      <c r="K8" s="157">
        <v>0.0175</v>
      </c>
      <c r="L8" s="157">
        <v>0.0175</v>
      </c>
      <c r="M8" s="157">
        <v>0.0175</v>
      </c>
    </row>
    <row r="9" spans="1:13" s="79" customFormat="1" ht="47.25">
      <c r="A9" s="78" t="s">
        <v>164</v>
      </c>
      <c r="B9" s="78" t="e">
        <f aca="true" t="shared" si="2" ref="B9:M9">ROUND((SUM(B3:B5)+B7)-(B8*(SUM(B3:B5)+B7)),0)</f>
        <v>#DIV/0!</v>
      </c>
      <c r="C9" s="78" t="e">
        <f t="shared" si="2"/>
        <v>#DIV/0!</v>
      </c>
      <c r="D9" s="78" t="e">
        <f t="shared" si="2"/>
        <v>#DIV/0!</v>
      </c>
      <c r="E9" s="78" t="e">
        <f t="shared" si="2"/>
        <v>#DIV/0!</v>
      </c>
      <c r="F9" s="78" t="e">
        <f t="shared" si="2"/>
        <v>#DIV/0!</v>
      </c>
      <c r="G9" s="78" t="e">
        <f t="shared" si="2"/>
        <v>#DIV/0!</v>
      </c>
      <c r="H9" s="78" t="e">
        <f t="shared" si="2"/>
        <v>#DIV/0!</v>
      </c>
      <c r="I9" s="78" t="e">
        <f t="shared" si="2"/>
        <v>#DIV/0!</v>
      </c>
      <c r="J9" s="78" t="e">
        <f t="shared" si="2"/>
        <v>#DIV/0!</v>
      </c>
      <c r="K9" s="78" t="e">
        <f t="shared" si="2"/>
        <v>#DIV/0!</v>
      </c>
      <c r="L9" s="78" t="e">
        <f t="shared" si="2"/>
        <v>#DIV/0!</v>
      </c>
      <c r="M9" s="78" t="e">
        <f t="shared" si="2"/>
        <v>#DIV/0!</v>
      </c>
    </row>
    <row r="10" spans="1:13" s="79" customFormat="1" ht="47.25">
      <c r="A10" s="78" t="s">
        <v>171</v>
      </c>
      <c r="B10" s="168" t="e">
        <f>ROUND(0.97*(B3+(B3*BASECALC!B6)),0)</f>
        <v>#DIV/0!</v>
      </c>
      <c r="C10" s="168" t="e">
        <f>ROUND(0.97*(C3+(C3*BASECALC!C6)),0)</f>
        <v>#DIV/0!</v>
      </c>
      <c r="D10" s="168" t="e">
        <f>ROUND(0.97*(D3+(D3*BASECALC!D6)),0)</f>
        <v>#DIV/0!</v>
      </c>
      <c r="E10" s="168" t="e">
        <f>ROUND(0.97*(E3+(E3*BASECALC!E6)),0)</f>
        <v>#DIV/0!</v>
      </c>
      <c r="F10" s="168" t="e">
        <f>ROUND(0.97*(F3+(F3*BASECALC!F6)),0)</f>
        <v>#DIV/0!</v>
      </c>
      <c r="G10" s="168" t="e">
        <f>ROUND(0.97*(G3+(G3*BASECALC!G6)),0)</f>
        <v>#DIV/0!</v>
      </c>
      <c r="H10" s="168" t="e">
        <f>ROUND(0.97*(H3+(H3*BASECALC!H6)),0)</f>
        <v>#DIV/0!</v>
      </c>
      <c r="I10" s="168" t="e">
        <f>ROUND(0.97*(I3+(I3*BASECALC!I6)),0)</f>
        <v>#DIV/0!</v>
      </c>
      <c r="J10" s="168" t="e">
        <f>ROUND(0.97*(J3+(J3*BASECALC!J6)),0)</f>
        <v>#DIV/0!</v>
      </c>
      <c r="K10" s="168" t="e">
        <f>ROUND(0.97*(K3+(K3*BASECALC!K6)),0)</f>
        <v>#DIV/0!</v>
      </c>
      <c r="L10" s="168" t="e">
        <f>ROUND(0.97*(L3+(L3*BASECALC!L6)),0)</f>
        <v>#DIV/0!</v>
      </c>
      <c r="M10" s="168" t="e">
        <f>ROUND(0.97*(M3+(M3*BASECALC!M6)),0)</f>
        <v>#DIV/0!</v>
      </c>
    </row>
    <row r="11" spans="1:13" s="79" customFormat="1" ht="16.5" thickBo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79" customFormat="1" ht="61.5" customHeight="1" thickBot="1">
      <c r="A12" s="61" t="s">
        <v>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4" s="79" customFormat="1" ht="24.75" customHeight="1" thickBot="1">
      <c r="A13" s="61" t="s">
        <v>118</v>
      </c>
      <c r="B13" s="62">
        <f>janvier!$F$14</f>
        <v>0</v>
      </c>
      <c r="C13" s="62">
        <f>fevrier!$F$14</f>
        <v>0</v>
      </c>
      <c r="D13" s="62">
        <f>mars!$F$14</f>
        <v>0</v>
      </c>
      <c r="E13" s="62">
        <f>avril!$F$14</f>
        <v>0</v>
      </c>
      <c r="F13" s="62">
        <f>mai!$F$14</f>
        <v>0</v>
      </c>
      <c r="G13" s="62">
        <f>juin!$F$14</f>
        <v>0</v>
      </c>
      <c r="H13" s="62">
        <f>juillet!$F$14</f>
        <v>0</v>
      </c>
      <c r="I13" s="62">
        <f>aout!$F$14</f>
        <v>0</v>
      </c>
      <c r="J13" s="62">
        <f>'sept.'!$F$14</f>
        <v>0</v>
      </c>
      <c r="K13" s="62">
        <f>'oct.'!$F$14</f>
        <v>0</v>
      </c>
      <c r="L13" s="62">
        <f>'nov.'!$F$14</f>
        <v>0</v>
      </c>
      <c r="M13" s="62">
        <f>'dec.'!$F$14</f>
        <v>0</v>
      </c>
      <c r="N13" s="131">
        <f>SUM(B13:M13)</f>
        <v>0</v>
      </c>
    </row>
    <row r="14" spans="1:15" s="79" customFormat="1" ht="24.75" customHeight="1" thickBot="1">
      <c r="A14" s="61" t="s">
        <v>145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>
        <f>'nov.'!$F$12</f>
        <v>0</v>
      </c>
      <c r="M14" s="62">
        <f>'dec.'!$F$12</f>
        <v>0</v>
      </c>
      <c r="N14" s="131">
        <f>SUM(B14:M14)</f>
        <v>0</v>
      </c>
      <c r="O14" s="166">
        <f>L13+L14</f>
        <v>0</v>
      </c>
    </row>
    <row r="15" spans="1:14" s="79" customFormat="1" ht="24.75" customHeight="1" thickBot="1">
      <c r="A15" s="61" t="s">
        <v>119</v>
      </c>
      <c r="B15" s="62" t="e">
        <f>janvier!$F$46</f>
        <v>#DIV/0!</v>
      </c>
      <c r="C15" s="62" t="e">
        <f>fevrier!$F$46</f>
        <v>#DIV/0!</v>
      </c>
      <c r="D15" s="62" t="e">
        <f>mars!$F$46</f>
        <v>#DIV/0!</v>
      </c>
      <c r="E15" s="62" t="e">
        <f>avril!$F$46</f>
        <v>#DIV/0!</v>
      </c>
      <c r="F15" s="62" t="e">
        <f>mai!$F$46</f>
        <v>#DIV/0!</v>
      </c>
      <c r="G15" s="62" t="e">
        <f>juin!$F$46</f>
        <v>#DIV/0!</v>
      </c>
      <c r="H15" s="62" t="e">
        <f>juillet!$F$46</f>
        <v>#DIV/0!</v>
      </c>
      <c r="I15" s="62" t="e">
        <f>aout!$F$46</f>
        <v>#DIV/0!</v>
      </c>
      <c r="J15" s="62" t="e">
        <f>'sept.'!$F$46</f>
        <v>#DIV/0!</v>
      </c>
      <c r="K15" s="62" t="e">
        <f>'oct.'!$F$46</f>
        <v>#DIV/0!</v>
      </c>
      <c r="L15" s="62" t="e">
        <f>'nov.'!$F$46</f>
        <v>#DIV/0!</v>
      </c>
      <c r="M15" s="62" t="e">
        <f>'dec.'!$F$46</f>
        <v>#DIV/0!</v>
      </c>
      <c r="N15" s="131" t="e">
        <f>SUM(B15:M15)</f>
        <v>#DIV/0!</v>
      </c>
    </row>
    <row r="16" spans="1:14" s="79" customFormat="1" ht="32.25" customHeight="1">
      <c r="A16" s="142" t="s">
        <v>120</v>
      </c>
      <c r="B16" s="143" t="e">
        <f>janvier!$F$43</f>
        <v>#DIV/0!</v>
      </c>
      <c r="C16" s="143" t="e">
        <f>fevrier!$F$43</f>
        <v>#DIV/0!</v>
      </c>
      <c r="D16" s="143" t="e">
        <f>mars!$F$43</f>
        <v>#DIV/0!</v>
      </c>
      <c r="E16" s="143" t="e">
        <f>avril!$F$43</f>
        <v>#DIV/0!</v>
      </c>
      <c r="F16" s="143" t="e">
        <f>mai!$F$43</f>
        <v>#DIV/0!</v>
      </c>
      <c r="G16" s="143" t="e">
        <f>juin!$F$43</f>
        <v>#DIV/0!</v>
      </c>
      <c r="H16" s="143" t="e">
        <f>juillet!$F$43</f>
        <v>#DIV/0!</v>
      </c>
      <c r="I16" s="143" t="e">
        <f>aout!$F$43</f>
        <v>#DIV/0!</v>
      </c>
      <c r="J16" s="143" t="e">
        <f>'sept.'!$F$43</f>
        <v>#DIV/0!</v>
      </c>
      <c r="K16" s="143" t="e">
        <f>'oct.'!$F$43</f>
        <v>#DIV/0!</v>
      </c>
      <c r="L16" s="143" t="e">
        <f>'nov.'!$F$43</f>
        <v>#DIV/0!</v>
      </c>
      <c r="M16" s="143" t="e">
        <f>'dec.'!$F$43</f>
        <v>#DIV/0!</v>
      </c>
      <c r="N16" s="131" t="e">
        <f>SUM(B16:M16)</f>
        <v>#DIV/0!</v>
      </c>
    </row>
    <row r="17" spans="1:17" s="79" customFormat="1" ht="32.25" customHeight="1">
      <c r="A17" s="171" t="s">
        <v>177</v>
      </c>
      <c r="B17" s="172" t="e">
        <f>B16</f>
        <v>#DIV/0!</v>
      </c>
      <c r="C17" s="172" t="e">
        <f>B17+C16</f>
        <v>#DIV/0!</v>
      </c>
      <c r="D17" s="172" t="e">
        <f aca="true" t="shared" si="3" ref="D17:M17">C17+D16</f>
        <v>#DIV/0!</v>
      </c>
      <c r="E17" s="172" t="e">
        <f t="shared" si="3"/>
        <v>#DIV/0!</v>
      </c>
      <c r="F17" s="172" t="e">
        <f t="shared" si="3"/>
        <v>#DIV/0!</v>
      </c>
      <c r="G17" s="172" t="e">
        <f t="shared" si="3"/>
        <v>#DIV/0!</v>
      </c>
      <c r="H17" s="172" t="e">
        <f t="shared" si="3"/>
        <v>#DIV/0!</v>
      </c>
      <c r="I17" s="172" t="e">
        <f t="shared" si="3"/>
        <v>#DIV/0!</v>
      </c>
      <c r="J17" s="172" t="e">
        <f t="shared" si="3"/>
        <v>#DIV/0!</v>
      </c>
      <c r="K17" s="172" t="e">
        <f t="shared" si="3"/>
        <v>#DIV/0!</v>
      </c>
      <c r="L17" s="172" t="e">
        <f t="shared" si="3"/>
        <v>#DIV/0!</v>
      </c>
      <c r="M17" s="172" t="e">
        <f t="shared" si="3"/>
        <v>#DIV/0!</v>
      </c>
      <c r="N17" s="173" t="e">
        <f>IF(M17-N16=0,"","ERREUR")</f>
        <v>#DIV/0!</v>
      </c>
      <c r="O17" s="79" t="s">
        <v>95</v>
      </c>
      <c r="P17" s="79" t="s">
        <v>142</v>
      </c>
      <c r="Q17" s="79" t="s">
        <v>143</v>
      </c>
    </row>
    <row r="18" spans="1:14" s="79" customFormat="1" ht="32.25" customHeight="1">
      <c r="A18" s="171" t="s">
        <v>30</v>
      </c>
      <c r="B18" s="185">
        <f>janvier!B8</f>
        <v>106.6</v>
      </c>
      <c r="C18" s="185">
        <f>B18+fevrier!$B$8</f>
        <v>213.2</v>
      </c>
      <c r="D18" s="185">
        <f>C18+mars!$B$8</f>
        <v>319.79999999999995</v>
      </c>
      <c r="E18" s="185">
        <f>D18+avril!$B$8</f>
        <v>426.4</v>
      </c>
      <c r="F18" s="185">
        <f>E18+mai!$B$8</f>
        <v>533</v>
      </c>
      <c r="G18" s="185">
        <f>F18+juin!$B$8</f>
        <v>639.6</v>
      </c>
      <c r="H18" s="185">
        <f>G18+juillet!$B$8</f>
        <v>746.2</v>
      </c>
      <c r="I18" s="185">
        <f>H18+aout!$B$8</f>
        <v>852.8000000000001</v>
      </c>
      <c r="J18" s="185">
        <f>I18+'sept.'!$B$8</f>
        <v>959.4000000000001</v>
      </c>
      <c r="K18" s="185">
        <f>J18+'oct.'!$B$8</f>
        <v>1066</v>
      </c>
      <c r="L18" s="185">
        <f>K18+'nov.'!$B$8</f>
        <v>1172.6</v>
      </c>
      <c r="M18" s="185">
        <f>L18+'dec.'!$B$8</f>
        <v>1279.1999999999998</v>
      </c>
      <c r="N18" s="173"/>
    </row>
    <row r="19" spans="1:17" s="79" customFormat="1" ht="37.5" customHeight="1">
      <c r="A19" s="144" t="s">
        <v>141</v>
      </c>
      <c r="B19" s="145">
        <f>B13+B14</f>
        <v>0</v>
      </c>
      <c r="C19" s="145">
        <f aca="true" t="shared" si="4" ref="C19:M19">C13+C14</f>
        <v>0</v>
      </c>
      <c r="D19" s="145">
        <f t="shared" si="4"/>
        <v>0</v>
      </c>
      <c r="E19" s="145">
        <f t="shared" si="4"/>
        <v>0</v>
      </c>
      <c r="F19" s="145">
        <f t="shared" si="4"/>
        <v>0</v>
      </c>
      <c r="G19" s="145">
        <f t="shared" si="4"/>
        <v>0</v>
      </c>
      <c r="H19" s="145">
        <f t="shared" si="4"/>
        <v>0</v>
      </c>
      <c r="I19" s="145">
        <f t="shared" si="4"/>
        <v>0</v>
      </c>
      <c r="J19" s="145">
        <f t="shared" si="4"/>
        <v>0</v>
      </c>
      <c r="K19" s="145">
        <f t="shared" si="4"/>
        <v>0</v>
      </c>
      <c r="L19" s="145">
        <f t="shared" si="4"/>
        <v>0</v>
      </c>
      <c r="M19" s="145">
        <f t="shared" si="4"/>
        <v>0</v>
      </c>
      <c r="N19" s="131"/>
      <c r="O19" s="146"/>
      <c r="P19" s="79">
        <v>151.67</v>
      </c>
      <c r="Q19" s="79">
        <v>106.6</v>
      </c>
    </row>
    <row r="20" spans="1:16" s="79" customFormat="1" ht="42" customHeight="1">
      <c r="A20" s="144" t="s">
        <v>140</v>
      </c>
      <c r="B20" s="145">
        <f>($O$19*$P$19)*($Q$19/$P$19)</f>
        <v>0</v>
      </c>
      <c r="C20" s="145">
        <f aca="true" t="shared" si="5" ref="C20:M20">($O$19*$P$19)*($Q$19/$P$19)</f>
        <v>0</v>
      </c>
      <c r="D20" s="145">
        <f t="shared" si="5"/>
        <v>0</v>
      </c>
      <c r="E20" s="145">
        <f t="shared" si="5"/>
        <v>0</v>
      </c>
      <c r="F20" s="145">
        <f t="shared" si="5"/>
        <v>0</v>
      </c>
      <c r="G20" s="145">
        <f t="shared" si="5"/>
        <v>0</v>
      </c>
      <c r="H20" s="145">
        <f t="shared" si="5"/>
        <v>0</v>
      </c>
      <c r="I20" s="145">
        <f t="shared" si="5"/>
        <v>0</v>
      </c>
      <c r="J20" s="145">
        <f t="shared" si="5"/>
        <v>0</v>
      </c>
      <c r="K20" s="145">
        <f t="shared" si="5"/>
        <v>0</v>
      </c>
      <c r="L20" s="145">
        <f t="shared" si="5"/>
        <v>0</v>
      </c>
      <c r="M20" s="145">
        <f t="shared" si="5"/>
        <v>0</v>
      </c>
      <c r="N20" s="131"/>
      <c r="O20" s="146">
        <f>O19*P19</f>
        <v>0</v>
      </c>
      <c r="P20" s="146"/>
    </row>
    <row r="21" spans="1:2" ht="14.25">
      <c r="A21" s="81"/>
      <c r="B21" s="81"/>
    </row>
    <row r="22" spans="1:2" ht="15" thickBot="1">
      <c r="A22" s="81"/>
      <c r="B22" s="81"/>
    </row>
    <row r="23" spans="1:16" ht="29.25" thickBot="1">
      <c r="A23" s="55" t="s">
        <v>21</v>
      </c>
      <c r="B23" s="82" t="e">
        <f>janvier!$F$46/janvier!$B$8</f>
        <v>#DIV/0!</v>
      </c>
      <c r="C23" s="83" t="e">
        <f>fevrier!$F$46/fevrier!$B$8</f>
        <v>#DIV/0!</v>
      </c>
      <c r="D23" s="83" t="e">
        <f>mars!$F$46/mars!$B$8</f>
        <v>#DIV/0!</v>
      </c>
      <c r="E23" s="83" t="e">
        <f>avril!$F$46/avril!$B$8</f>
        <v>#DIV/0!</v>
      </c>
      <c r="F23" s="83" t="e">
        <f>mai!$F$46/mai!$B$8</f>
        <v>#DIV/0!</v>
      </c>
      <c r="G23" s="83" t="e">
        <f>juin!$F$46/juin!$B$8</f>
        <v>#DIV/0!</v>
      </c>
      <c r="H23" s="83" t="e">
        <f>juillet!$F$46/juillet!$B$8</f>
        <v>#DIV/0!</v>
      </c>
      <c r="I23" s="83" t="e">
        <f>aout!$F$46/aout!$B$8</f>
        <v>#DIV/0!</v>
      </c>
      <c r="J23" s="83" t="e">
        <f>'sept.'!$F$46/'sept.'!$B$8</f>
        <v>#DIV/0!</v>
      </c>
      <c r="K23" s="83" t="e">
        <f>'oct.'!$F$46/'oct.'!$B$8</f>
        <v>#DIV/0!</v>
      </c>
      <c r="L23" s="83" t="e">
        <f>'nov.'!$F$46/'nov.'!$B$8</f>
        <v>#DIV/0!</v>
      </c>
      <c r="M23" s="83" t="e">
        <f>'dec.'!$F$46/'dec.'!$B$8</f>
        <v>#DIV/0!</v>
      </c>
      <c r="P23" s="156"/>
    </row>
    <row r="24" spans="2:16" ht="14.25">
      <c r="B24" s="81"/>
      <c r="P24" s="156"/>
    </row>
    <row r="25" ht="15" thickBot="1"/>
    <row r="26" spans="1:2" ht="15" thickBot="1">
      <c r="A26" s="55" t="s">
        <v>51</v>
      </c>
      <c r="B26" s="54"/>
    </row>
    <row r="27" ht="14.25"/>
    <row r="28" ht="15" thickBot="1"/>
    <row r="29" spans="1:18" ht="38.25" customHeight="1" thickBot="1">
      <c r="A29" s="198" t="s">
        <v>67</v>
      </c>
      <c r="B29" s="199"/>
      <c r="C29" s="84" t="s">
        <v>52</v>
      </c>
      <c r="D29" s="85" t="s">
        <v>53</v>
      </c>
      <c r="G29" s="200" t="s">
        <v>68</v>
      </c>
      <c r="H29" s="201"/>
      <c r="I29" s="201"/>
      <c r="J29" s="202"/>
      <c r="K29" s="63"/>
      <c r="L29"/>
      <c r="M29"/>
      <c r="N29"/>
      <c r="O29"/>
      <c r="P29"/>
      <c r="Q29"/>
      <c r="R29"/>
    </row>
    <row r="30" spans="2:18" ht="25.5" customHeight="1">
      <c r="B30" s="53" t="s">
        <v>76</v>
      </c>
      <c r="C30" s="86">
        <v>0.1284</v>
      </c>
      <c r="D30" s="87">
        <v>0.0075</v>
      </c>
      <c r="E30" s="162"/>
      <c r="G30" s="188" t="s">
        <v>139</v>
      </c>
      <c r="H30" s="203" t="s">
        <v>54</v>
      </c>
      <c r="I30" s="180"/>
      <c r="J30" s="64">
        <v>1279.2</v>
      </c>
      <c r="L30"/>
      <c r="M30"/>
      <c r="N30"/>
      <c r="O30"/>
      <c r="P30"/>
      <c r="Q30"/>
      <c r="R30"/>
    </row>
    <row r="31" spans="2:18" ht="14.25">
      <c r="B31" s="52" t="s">
        <v>79</v>
      </c>
      <c r="C31" s="86">
        <v>0.0185</v>
      </c>
      <c r="D31" s="87">
        <v>0.0035</v>
      </c>
      <c r="E31" s="162"/>
      <c r="G31" s="189"/>
      <c r="H31" s="192" t="s">
        <v>55</v>
      </c>
      <c r="I31" s="193"/>
      <c r="J31" s="56">
        <f>J30/12</f>
        <v>106.60000000000001</v>
      </c>
      <c r="K31" s="50" t="s">
        <v>58</v>
      </c>
      <c r="L31"/>
      <c r="M31"/>
      <c r="N31"/>
      <c r="O31"/>
      <c r="P31"/>
      <c r="Q31"/>
      <c r="R31"/>
    </row>
    <row r="32" spans="2:18" ht="25.5">
      <c r="B32" s="52" t="s">
        <v>78</v>
      </c>
      <c r="C32" s="86">
        <v>0.0855</v>
      </c>
      <c r="D32" s="87">
        <v>0.069</v>
      </c>
      <c r="E32" s="162"/>
      <c r="G32" s="189"/>
      <c r="H32" s="192" t="s">
        <v>56</v>
      </c>
      <c r="I32" s="193"/>
      <c r="J32" s="56">
        <f>J30/52</f>
        <v>24.6</v>
      </c>
      <c r="L32"/>
      <c r="M32"/>
      <c r="N32"/>
      <c r="O32"/>
      <c r="P32"/>
      <c r="Q32"/>
      <c r="R32"/>
    </row>
    <row r="33" spans="2:18" ht="23.25" customHeight="1">
      <c r="B33" s="52" t="s">
        <v>80</v>
      </c>
      <c r="C33" s="86">
        <v>0.0309</v>
      </c>
      <c r="D33" s="87"/>
      <c r="E33" s="162"/>
      <c r="G33" s="190"/>
      <c r="H33" s="192" t="s">
        <v>57</v>
      </c>
      <c r="I33" s="193"/>
      <c r="J33" s="56">
        <f>J32/4</f>
        <v>6.15</v>
      </c>
      <c r="L33"/>
      <c r="M33"/>
      <c r="N33"/>
      <c r="O33"/>
      <c r="P33"/>
      <c r="Q33"/>
      <c r="R33"/>
    </row>
    <row r="34" spans="2:18" ht="25.5">
      <c r="B34" s="52" t="s">
        <v>37</v>
      </c>
      <c r="C34" s="86">
        <v>0.0345</v>
      </c>
      <c r="D34" s="87"/>
      <c r="E34" s="162"/>
      <c r="L34"/>
      <c r="M34"/>
      <c r="N34"/>
      <c r="O34"/>
      <c r="P34"/>
      <c r="Q34"/>
      <c r="R34"/>
    </row>
    <row r="35" spans="2:18" ht="25.5">
      <c r="B35" s="52" t="s">
        <v>81</v>
      </c>
      <c r="C35" s="86">
        <v>0.0042</v>
      </c>
      <c r="D35" s="87"/>
      <c r="E35" s="162"/>
      <c r="G35" s="191" t="s">
        <v>63</v>
      </c>
      <c r="H35" s="192" t="s">
        <v>64</v>
      </c>
      <c r="I35" s="193"/>
      <c r="J35" s="57">
        <v>7</v>
      </c>
      <c r="L35"/>
      <c r="M35"/>
      <c r="N35"/>
      <c r="O35"/>
      <c r="P35"/>
      <c r="Q35"/>
      <c r="R35"/>
    </row>
    <row r="36" spans="2:18" ht="38.25">
      <c r="B36" s="52" t="s">
        <v>165</v>
      </c>
      <c r="C36" s="86">
        <v>0.00016</v>
      </c>
      <c r="D36" s="87"/>
      <c r="E36" s="162"/>
      <c r="G36" s="190"/>
      <c r="H36" s="192" t="s">
        <v>59</v>
      </c>
      <c r="I36" s="193"/>
      <c r="J36" s="58">
        <f>J35*J31/30</f>
        <v>24.873333333333335</v>
      </c>
      <c r="L36"/>
      <c r="M36"/>
      <c r="N36"/>
      <c r="O36"/>
      <c r="P36"/>
      <c r="Q36"/>
      <c r="R36"/>
    </row>
    <row r="37" spans="2:18" ht="25.5">
      <c r="B37" s="52" t="s">
        <v>166</v>
      </c>
      <c r="C37" s="86">
        <v>0</v>
      </c>
      <c r="D37" s="87"/>
      <c r="E37" s="162"/>
      <c r="G37" s="59" t="s">
        <v>60</v>
      </c>
      <c r="H37" s="192"/>
      <c r="I37" s="193"/>
      <c r="J37" s="56"/>
      <c r="L37"/>
      <c r="M37"/>
      <c r="N37"/>
      <c r="O37"/>
      <c r="P37"/>
      <c r="Q37"/>
      <c r="R37"/>
    </row>
    <row r="38" spans="2:18" ht="14.25">
      <c r="B38" s="52" t="s">
        <v>169</v>
      </c>
      <c r="C38" s="86">
        <v>0.001</v>
      </c>
      <c r="D38" s="87"/>
      <c r="E38" s="162"/>
      <c r="G38" s="191" t="s">
        <v>63</v>
      </c>
      <c r="H38" s="192" t="s">
        <v>61</v>
      </c>
      <c r="I38" s="193"/>
      <c r="J38" s="56">
        <v>4</v>
      </c>
      <c r="L38"/>
      <c r="M38"/>
      <c r="N38"/>
      <c r="O38"/>
      <c r="P38"/>
      <c r="Q38"/>
      <c r="R38"/>
    </row>
    <row r="39" spans="2:18" ht="25.5">
      <c r="B39" s="52" t="s">
        <v>82</v>
      </c>
      <c r="C39" s="86">
        <v>0.04</v>
      </c>
      <c r="D39" s="87">
        <v>0.024</v>
      </c>
      <c r="E39" s="162"/>
      <c r="G39" s="190"/>
      <c r="H39" s="192" t="s">
        <v>62</v>
      </c>
      <c r="I39" s="193"/>
      <c r="J39" s="59">
        <f>J38*J33</f>
        <v>24.6</v>
      </c>
      <c r="L39"/>
      <c r="M39"/>
      <c r="N39"/>
      <c r="O39"/>
      <c r="P39"/>
      <c r="Q39"/>
      <c r="R39"/>
    </row>
    <row r="40" spans="2:18" ht="26.25" thickBot="1">
      <c r="B40" s="52" t="s">
        <v>83</v>
      </c>
      <c r="C40" s="86">
        <v>0.0025</v>
      </c>
      <c r="D40" s="87"/>
      <c r="E40" s="162"/>
      <c r="H40" s="194"/>
      <c r="I40" s="194"/>
      <c r="L40"/>
      <c r="M40"/>
      <c r="N40"/>
      <c r="O40"/>
      <c r="P40"/>
      <c r="Q40"/>
      <c r="R40"/>
    </row>
    <row r="41" spans="2:18" ht="25.5" customHeight="1" thickBot="1">
      <c r="B41" s="52" t="s">
        <v>87</v>
      </c>
      <c r="C41" s="86">
        <v>0.002</v>
      </c>
      <c r="D41" s="87"/>
      <c r="E41" s="162"/>
      <c r="G41" s="200" t="s">
        <v>73</v>
      </c>
      <c r="H41" s="201"/>
      <c r="I41" s="201"/>
      <c r="J41" s="202"/>
      <c r="L41"/>
      <c r="M41"/>
      <c r="N41"/>
      <c r="O41"/>
      <c r="P41"/>
      <c r="Q41"/>
      <c r="R41"/>
    </row>
    <row r="42" spans="2:18" ht="24.75" customHeight="1">
      <c r="B42" s="52" t="s">
        <v>172</v>
      </c>
      <c r="C42" s="86">
        <v>0.0035</v>
      </c>
      <c r="D42" s="87">
        <v>0.0006000000000000001</v>
      </c>
      <c r="E42" s="162"/>
      <c r="G42" s="181" t="s">
        <v>70</v>
      </c>
      <c r="H42" s="182"/>
      <c r="I42" s="182"/>
      <c r="J42" s="183"/>
      <c r="L42"/>
      <c r="M42"/>
      <c r="N42"/>
      <c r="O42"/>
      <c r="P42"/>
      <c r="Q42"/>
      <c r="R42"/>
    </row>
    <row r="43" spans="1:18" ht="24.75" customHeight="1">
      <c r="A43" s="164"/>
      <c r="B43" s="52" t="s">
        <v>180</v>
      </c>
      <c r="C43" s="152">
        <v>0.00016</v>
      </c>
      <c r="D43" s="87"/>
      <c r="E43" s="162"/>
      <c r="G43" s="192" t="s">
        <v>71</v>
      </c>
      <c r="H43" s="193"/>
      <c r="I43" s="64"/>
      <c r="L43"/>
      <c r="M43"/>
      <c r="N43"/>
      <c r="O43"/>
      <c r="P43"/>
      <c r="Q43"/>
      <c r="R43"/>
    </row>
    <row r="44" spans="2:18" ht="24.75" customHeight="1">
      <c r="B44" s="52" t="s">
        <v>84</v>
      </c>
      <c r="C44" s="152">
        <v>0.03875</v>
      </c>
      <c r="D44" s="153">
        <v>0.03875</v>
      </c>
      <c r="E44" s="162"/>
      <c r="G44" s="192" t="s">
        <v>72</v>
      </c>
      <c r="H44" s="193"/>
      <c r="I44" s="56"/>
      <c r="L44"/>
      <c r="M44"/>
      <c r="N44"/>
      <c r="O44"/>
      <c r="P44"/>
      <c r="Q44"/>
      <c r="R44"/>
    </row>
    <row r="45" spans="2:18" ht="24.75" customHeight="1">
      <c r="B45" s="52" t="s">
        <v>85</v>
      </c>
      <c r="C45" s="86">
        <v>0.012</v>
      </c>
      <c r="D45" s="87">
        <v>0.008</v>
      </c>
      <c r="E45" s="162"/>
      <c r="G45" s="186" t="s">
        <v>73</v>
      </c>
      <c r="H45" s="187"/>
      <c r="I45" s="88" t="e">
        <f>I43/I44</f>
        <v>#DIV/0!</v>
      </c>
      <c r="L45"/>
      <c r="M45"/>
      <c r="N45"/>
      <c r="O45"/>
      <c r="P45"/>
      <c r="Q45"/>
      <c r="R45"/>
    </row>
    <row r="46" spans="2:5" ht="24.75" customHeight="1">
      <c r="B46" s="52" t="s">
        <v>89</v>
      </c>
      <c r="C46" s="86">
        <v>0.0022</v>
      </c>
      <c r="D46" s="87">
        <v>0.0011</v>
      </c>
      <c r="E46" s="162"/>
    </row>
    <row r="47" spans="2:10" ht="24.75" customHeight="1">
      <c r="B47" s="52" t="s">
        <v>90</v>
      </c>
      <c r="C47" s="86">
        <v>0.0089</v>
      </c>
      <c r="D47" s="87">
        <v>0.0066</v>
      </c>
      <c r="E47" s="162"/>
      <c r="G47" s="186" t="s">
        <v>74</v>
      </c>
      <c r="H47" s="195"/>
      <c r="I47" s="195"/>
      <c r="J47" s="187"/>
    </row>
    <row r="48" spans="2:9" ht="24.75" customHeight="1">
      <c r="B48" s="52" t="s">
        <v>77</v>
      </c>
      <c r="C48" s="86">
        <v>0.003</v>
      </c>
      <c r="D48" s="87"/>
      <c r="E48" s="162"/>
      <c r="G48" s="192" t="s">
        <v>71</v>
      </c>
      <c r="H48" s="193"/>
      <c r="I48" s="56"/>
    </row>
    <row r="49" spans="2:9" ht="24.75" customHeight="1">
      <c r="B49" s="52" t="s">
        <v>117</v>
      </c>
      <c r="C49" s="129">
        <v>13.5</v>
      </c>
      <c r="D49" s="130">
        <v>13.5</v>
      </c>
      <c r="E49" s="162"/>
      <c r="G49" s="192" t="s">
        <v>75</v>
      </c>
      <c r="H49" s="193"/>
      <c r="I49" s="56"/>
    </row>
    <row r="50" spans="2:9" ht="45" customHeight="1">
      <c r="B50" s="176" t="s">
        <v>9</v>
      </c>
      <c r="C50" s="177">
        <f>SUM(C30:C48)</f>
        <v>0.41616999999999993</v>
      </c>
      <c r="D50" s="177"/>
      <c r="E50" s="163"/>
      <c r="G50" s="186" t="s">
        <v>73</v>
      </c>
      <c r="H50" s="187"/>
      <c r="I50" s="88" t="e">
        <f>I48/I49</f>
        <v>#DIV/0!</v>
      </c>
    </row>
    <row r="51" spans="2:5" ht="25.5">
      <c r="B51" s="176" t="s">
        <v>10</v>
      </c>
      <c r="C51" s="178"/>
      <c r="D51" s="178">
        <f>SUM(D30:D48)</f>
        <v>0.15905</v>
      </c>
      <c r="E51" s="163"/>
    </row>
    <row r="52" spans="2:5" ht="14.25">
      <c r="B52" s="52" t="s">
        <v>17</v>
      </c>
      <c r="C52" s="86"/>
      <c r="D52" s="87"/>
      <c r="E52" s="163"/>
    </row>
    <row r="53" spans="2:5" ht="14.25">
      <c r="B53" s="52" t="s">
        <v>16</v>
      </c>
      <c r="C53" s="86"/>
      <c r="D53" s="87">
        <v>0.051</v>
      </c>
      <c r="E53" s="162"/>
    </row>
    <row r="54" spans="2:5" ht="25.5">
      <c r="B54" s="52" t="s">
        <v>18</v>
      </c>
      <c r="C54" s="86"/>
      <c r="D54" s="87">
        <v>0.024</v>
      </c>
      <c r="E54" s="162"/>
    </row>
    <row r="55" spans="2:5" ht="25.5">
      <c r="B55" s="52" t="s">
        <v>19</v>
      </c>
      <c r="C55" s="86"/>
      <c r="D55" s="87">
        <v>0.005</v>
      </c>
      <c r="E55" s="162"/>
    </row>
  </sheetData>
  <sheetProtection/>
  <mergeCells count="25">
    <mergeCell ref="G41:J41"/>
    <mergeCell ref="G42:J42"/>
    <mergeCell ref="G45:H45"/>
    <mergeCell ref="G44:H44"/>
    <mergeCell ref="G43:H43"/>
    <mergeCell ref="G47:J47"/>
    <mergeCell ref="G48:H48"/>
    <mergeCell ref="G49:H49"/>
    <mergeCell ref="A1:A2"/>
    <mergeCell ref="A29:B29"/>
    <mergeCell ref="G29:J29"/>
    <mergeCell ref="H31:I31"/>
    <mergeCell ref="H32:I32"/>
    <mergeCell ref="H30:I30"/>
    <mergeCell ref="H33:I33"/>
    <mergeCell ref="G50:H50"/>
    <mergeCell ref="G30:G33"/>
    <mergeCell ref="G35:G36"/>
    <mergeCell ref="G38:G39"/>
    <mergeCell ref="H35:I35"/>
    <mergeCell ref="H36:I36"/>
    <mergeCell ref="H37:I37"/>
    <mergeCell ref="H38:I38"/>
    <mergeCell ref="H39:I39"/>
    <mergeCell ref="H40:I40"/>
  </mergeCells>
  <conditionalFormatting sqref="N17:N18">
    <cfRule type="cellIs" priority="1" dxfId="0" operator="equal" stopIfTrue="1">
      <formula>"ERREUR"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="96" zoomScaleSheetLayoutView="96" zoomScalePageLayoutView="0" workbookViewId="0" topLeftCell="A1">
      <selection activeCell="F11" sqref="F11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181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BASECALC!B12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5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09" t="s">
        <v>20</v>
      </c>
      <c r="B12" s="210"/>
      <c r="C12" s="210"/>
      <c r="D12" s="210"/>
      <c r="E12" s="21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59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59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33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">
        <v>117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BASECALC!B10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6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8" t="s">
        <v>65</v>
      </c>
    </row>
    <row r="48" ht="12.75"/>
    <row r="49" spans="1:6" ht="12.75">
      <c r="A49" s="47" t="s">
        <v>30</v>
      </c>
      <c r="B49" s="19">
        <f>BASECALC!B18</f>
        <v>106.6</v>
      </c>
      <c r="C49" s="227" t="s">
        <v>178</v>
      </c>
      <c r="D49" s="228"/>
      <c r="E49" s="174" t="e">
        <f>BASECALC!B17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BASECALC!B26</f>
        <v>0</v>
      </c>
      <c r="C51" s="48" t="s">
        <v>32</v>
      </c>
      <c r="D51" s="21"/>
      <c r="E51" s="47" t="s">
        <v>33</v>
      </c>
      <c r="F51" s="22">
        <f>B51-D51</f>
        <v>0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41:D41"/>
    <mergeCell ref="A37:B37"/>
    <mergeCell ref="A54:F54"/>
    <mergeCell ref="A46:E46"/>
    <mergeCell ref="A53:F53"/>
    <mergeCell ref="A44:E44"/>
    <mergeCell ref="C49:D49"/>
    <mergeCell ref="C9:D9"/>
    <mergeCell ref="C10:D10"/>
    <mergeCell ref="C11:D11"/>
    <mergeCell ref="A43:E43"/>
    <mergeCell ref="A12:E12"/>
    <mergeCell ref="C13:D13"/>
    <mergeCell ref="A14:E14"/>
    <mergeCell ref="C16:D16"/>
    <mergeCell ref="E16:F16"/>
    <mergeCell ref="E37:F37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SheetLayoutView="100" zoomScalePageLayoutView="0" workbookViewId="0" topLeftCell="A1">
      <selection activeCell="F11" sqref="F11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BASECALC!C12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5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20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">
        <v>117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BASECALC!C10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BASECALC!C18</f>
        <v>213.2</v>
      </c>
      <c r="C49" s="227" t="s">
        <v>178</v>
      </c>
      <c r="D49" s="228"/>
      <c r="E49" s="174" t="e">
        <f>BASECALC!C17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janvier!F51+2.5</f>
        <v>2.5</v>
      </c>
      <c r="C51" s="48" t="s">
        <v>32</v>
      </c>
      <c r="D51" s="21">
        <v>0</v>
      </c>
      <c r="E51" s="47" t="s">
        <v>33</v>
      </c>
      <c r="F51" s="22">
        <f>B51-D51</f>
        <v>2.5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="96" zoomScaleSheetLayoutView="96" zoomScalePageLayoutView="0" workbookViewId="0" topLeftCell="A2">
      <selection activeCell="F11" sqref="F11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BASECALC!D12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91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BASECALC!D10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BASECALC!D18</f>
        <v>319.79999999999995</v>
      </c>
      <c r="C49" s="227" t="s">
        <v>178</v>
      </c>
      <c r="D49" s="228"/>
      <c r="E49" s="174" t="e">
        <f>BASECALC!D17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fevrier!F51+2.5</f>
        <v>5</v>
      </c>
      <c r="C51" s="48" t="s">
        <v>32</v>
      </c>
      <c r="D51" s="21">
        <v>0</v>
      </c>
      <c r="E51" s="47" t="s">
        <v>33</v>
      </c>
      <c r="F51" s="22">
        <f>B51-D51</f>
        <v>5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="98" zoomScaleSheetLayoutView="98" zoomScalePageLayoutView="0" workbookViewId="0" topLeftCell="A20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BASECALC!E12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20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BASECALC!E10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175</v>
      </c>
      <c r="B44" s="226"/>
      <c r="C44" s="226"/>
      <c r="D44" s="226"/>
      <c r="E44" s="226"/>
      <c r="F44" s="28">
        <v>5.48</v>
      </c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F14-F41+F44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BASECALC!E18</f>
        <v>426.4</v>
      </c>
      <c r="C49" s="227" t="s">
        <v>178</v>
      </c>
      <c r="D49" s="228"/>
      <c r="E49" s="174" t="e">
        <f>BASECALC!E17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mars!F51+2.5</f>
        <v>7.5</v>
      </c>
      <c r="C51" s="48" t="s">
        <v>32</v>
      </c>
      <c r="D51" s="21">
        <v>6</v>
      </c>
      <c r="E51" s="47" t="s">
        <v>33</v>
      </c>
      <c r="F51" s="22">
        <f>B51-D51</f>
        <v>1.5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="95" zoomScaleSheetLayoutView="95" zoomScalePageLayoutView="0" workbookViewId="0" topLeftCell="A18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BASECALC!F12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20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BASECALC!F10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BASECALC!F18</f>
        <v>533</v>
      </c>
      <c r="C49" s="227" t="s">
        <v>178</v>
      </c>
      <c r="D49" s="228"/>
      <c r="E49" s="174" t="e">
        <f>BASECALC!F17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avril!F51+2.5</f>
        <v>4</v>
      </c>
      <c r="C51" s="48" t="s">
        <v>32</v>
      </c>
      <c r="D51" s="21"/>
      <c r="E51" s="47" t="s">
        <v>33</v>
      </c>
      <c r="F51" s="22">
        <f>B51-D51</f>
        <v>4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SheetLayoutView="100" zoomScalePageLayoutView="0" workbookViewId="0" topLeftCell="A20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BASECALC!G12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20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BASECALC!G10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BASECALC!G18</f>
        <v>639.6</v>
      </c>
      <c r="C49" s="227" t="s">
        <v>178</v>
      </c>
      <c r="D49" s="228"/>
      <c r="E49" s="174" t="e">
        <f>BASECALC!G17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mai!F51+2.5</f>
        <v>6.5</v>
      </c>
      <c r="C51" s="48" t="s">
        <v>32</v>
      </c>
      <c r="D51" s="21"/>
      <c r="E51" s="47" t="s">
        <v>33</v>
      </c>
      <c r="F51" s="22">
        <f>B51-D51</f>
        <v>6.5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4"/>
  <sheetViews>
    <sheetView showGridLines="0" view="pageBreakPreview" zoomScale="95" zoomScaleSheetLayoutView="95" zoomScalePageLayoutView="0" workbookViewId="0" topLeftCell="A18">
      <selection activeCell="A12" sqref="A12:E12"/>
    </sheetView>
  </sheetViews>
  <sheetFormatPr defaultColWidth="10.296875" defaultRowHeight="19.5" customHeight="1"/>
  <cols>
    <col min="1" max="1" width="23.59765625" style="8" customWidth="1"/>
    <col min="2" max="6" width="14.69921875" style="8" customWidth="1"/>
    <col min="7" max="16384" width="10.19921875" style="8" customWidth="1"/>
  </cols>
  <sheetData>
    <row r="1" s="6" customFormat="1" ht="14.25"/>
    <row r="2" spans="1:6" ht="19.5" customHeight="1">
      <c r="A2" s="206" t="s">
        <v>144</v>
      </c>
      <c r="B2" s="206"/>
      <c r="C2" s="206"/>
      <c r="D2" s="7" t="s">
        <v>23</v>
      </c>
      <c r="E2" s="184" t="s">
        <v>116</v>
      </c>
      <c r="F2" s="184"/>
    </row>
    <row r="3" spans="1:6" ht="19.5" customHeight="1">
      <c r="A3" s="206"/>
      <c r="B3" s="206"/>
      <c r="C3" s="206"/>
      <c r="D3" s="7" t="s">
        <v>24</v>
      </c>
      <c r="E3" s="179" t="s">
        <v>25</v>
      </c>
      <c r="F3" s="179"/>
    </row>
    <row r="4" spans="1:6" ht="19.5" customHeight="1">
      <c r="A4" s="206"/>
      <c r="B4" s="206"/>
      <c r="C4" s="206"/>
      <c r="D4" s="7" t="s">
        <v>26</v>
      </c>
      <c r="E4" s="204" t="s">
        <v>27</v>
      </c>
      <c r="F4" s="204"/>
    </row>
    <row r="5" spans="1:6" ht="19.5" customHeight="1">
      <c r="A5" s="9"/>
      <c r="B5" s="9"/>
      <c r="C5" s="9"/>
      <c r="D5" s="10"/>
      <c r="E5" s="11"/>
      <c r="F5" s="11"/>
    </row>
    <row r="6" spans="1:6" ht="19.5" customHeight="1">
      <c r="A6" s="12"/>
      <c r="C6" s="13" t="s">
        <v>29</v>
      </c>
      <c r="D6" s="14"/>
      <c r="E6" s="15" t="s">
        <v>28</v>
      </c>
      <c r="F6" s="16"/>
    </row>
    <row r="8" spans="1:6" ht="28.5" customHeight="1">
      <c r="A8" s="25" t="s">
        <v>0</v>
      </c>
      <c r="B8" s="158">
        <v>106.6</v>
      </c>
      <c r="C8" s="205" t="s">
        <v>1</v>
      </c>
      <c r="D8" s="205"/>
      <c r="E8" s="170">
        <f>BASECALC!H12</f>
        <v>0</v>
      </c>
      <c r="F8" s="28">
        <f>B8*E8</f>
        <v>0</v>
      </c>
    </row>
    <row r="9" spans="1:6" ht="12.75">
      <c r="A9" s="25" t="s">
        <v>2</v>
      </c>
      <c r="B9" s="26"/>
      <c r="C9" s="205" t="s">
        <v>3</v>
      </c>
      <c r="D9" s="205"/>
      <c r="E9" s="27"/>
      <c r="F9" s="28">
        <f>B9*E9</f>
        <v>0</v>
      </c>
    </row>
    <row r="10" spans="1:6" ht="12.75">
      <c r="A10" s="25" t="s">
        <v>2</v>
      </c>
      <c r="B10" s="26"/>
      <c r="C10" s="205" t="s">
        <v>3</v>
      </c>
      <c r="D10" s="205"/>
      <c r="E10" s="27"/>
      <c r="F10" s="28">
        <f>B10*E10</f>
        <v>0</v>
      </c>
    </row>
    <row r="11" spans="1:6" ht="15" customHeight="1">
      <c r="A11" s="25" t="s">
        <v>4</v>
      </c>
      <c r="B11" s="169">
        <v>6</v>
      </c>
      <c r="C11" s="205" t="s">
        <v>5</v>
      </c>
      <c r="D11" s="205"/>
      <c r="E11" s="29">
        <v>0.02</v>
      </c>
      <c r="F11" s="28">
        <f>F8*E11</f>
        <v>0</v>
      </c>
    </row>
    <row r="12" spans="1:6" ht="14.25">
      <c r="A12" s="226" t="s">
        <v>20</v>
      </c>
      <c r="B12" s="230"/>
      <c r="C12" s="230"/>
      <c r="D12" s="230"/>
      <c r="E12" s="230"/>
      <c r="F12" s="28"/>
    </row>
    <row r="13" spans="1:6" ht="13.5" thickBot="1">
      <c r="A13" s="1"/>
      <c r="B13" s="2"/>
      <c r="C13" s="211"/>
      <c r="D13" s="211"/>
      <c r="E13" s="3"/>
      <c r="F13" s="4"/>
    </row>
    <row r="14" spans="1:6" ht="15" customHeight="1" thickBot="1">
      <c r="A14" s="212" t="s">
        <v>6</v>
      </c>
      <c r="B14" s="213"/>
      <c r="C14" s="213"/>
      <c r="D14" s="213"/>
      <c r="E14" s="213"/>
      <c r="F14" s="24">
        <f>SUM(F8:F12)</f>
        <v>0</v>
      </c>
    </row>
    <row r="15" spans="1:6" ht="12.75">
      <c r="A15" s="30"/>
      <c r="B15" s="5"/>
      <c r="C15" s="3"/>
      <c r="D15" s="3"/>
      <c r="E15" s="3"/>
      <c r="F15" s="4"/>
    </row>
    <row r="16" spans="1:6" ht="29.25" customHeight="1">
      <c r="A16" s="31" t="s">
        <v>7</v>
      </c>
      <c r="B16" s="32" t="s">
        <v>8</v>
      </c>
      <c r="C16" s="214" t="s">
        <v>9</v>
      </c>
      <c r="D16" s="214"/>
      <c r="E16" s="215" t="s">
        <v>10</v>
      </c>
      <c r="F16" s="215"/>
    </row>
    <row r="17" spans="1:6" ht="15" customHeight="1">
      <c r="A17" s="33" t="s">
        <v>76</v>
      </c>
      <c r="B17" s="34">
        <f>ROUND($F$14,0)</f>
        <v>0</v>
      </c>
      <c r="C17" s="35">
        <f>BASECALC!C30</f>
        <v>0.1284</v>
      </c>
      <c r="D17" s="28">
        <f aca="true" t="shared" si="0" ref="D17:D35">B17*C17</f>
        <v>0</v>
      </c>
      <c r="E17" s="35">
        <f>BASECALC!D30</f>
        <v>0.0075</v>
      </c>
      <c r="F17" s="28">
        <f aca="true" t="shared" si="1" ref="F17:F34">E17*B17</f>
        <v>0</v>
      </c>
    </row>
    <row r="18" spans="1:6" ht="15" customHeight="1">
      <c r="A18" s="33" t="s">
        <v>79</v>
      </c>
      <c r="B18" s="34">
        <f>B17</f>
        <v>0</v>
      </c>
      <c r="C18" s="35">
        <f>BASECALC!C31</f>
        <v>0.0185</v>
      </c>
      <c r="D18" s="28">
        <f t="shared" si="0"/>
        <v>0</v>
      </c>
      <c r="E18" s="35">
        <f>BASECALC!D31</f>
        <v>0.0035</v>
      </c>
      <c r="F18" s="28">
        <f t="shared" si="1"/>
        <v>0</v>
      </c>
    </row>
    <row r="19" spans="1:6" ht="15" customHeight="1">
      <c r="A19" s="33" t="s">
        <v>78</v>
      </c>
      <c r="B19" s="34">
        <f aca="true" t="shared" si="2" ref="B19:B35">B18</f>
        <v>0</v>
      </c>
      <c r="C19" s="35">
        <f>BASECALC!C32</f>
        <v>0.0855</v>
      </c>
      <c r="D19" s="28">
        <f t="shared" si="0"/>
        <v>0</v>
      </c>
      <c r="E19" s="35">
        <f>BASECALC!D32</f>
        <v>0.069</v>
      </c>
      <c r="F19" s="28">
        <f t="shared" si="1"/>
        <v>0</v>
      </c>
    </row>
    <row r="20" spans="1:6" ht="15" customHeight="1">
      <c r="A20" s="33" t="s">
        <v>80</v>
      </c>
      <c r="B20" s="34">
        <f t="shared" si="2"/>
        <v>0</v>
      </c>
      <c r="C20" s="35">
        <f>BASECALC!C33</f>
        <v>0.0309</v>
      </c>
      <c r="D20" s="28">
        <f t="shared" si="0"/>
        <v>0</v>
      </c>
      <c r="E20" s="89"/>
      <c r="F20" s="90"/>
    </row>
    <row r="21" spans="1:6" ht="15" customHeight="1">
      <c r="A21" s="33" t="s">
        <v>37</v>
      </c>
      <c r="B21" s="34">
        <f t="shared" si="2"/>
        <v>0</v>
      </c>
      <c r="C21" s="35">
        <f>BASECALC!C34</f>
        <v>0.0345</v>
      </c>
      <c r="D21" s="28">
        <f t="shared" si="0"/>
        <v>0</v>
      </c>
      <c r="E21" s="89"/>
      <c r="F21" s="90"/>
    </row>
    <row r="22" spans="1:6" ht="15" customHeight="1">
      <c r="A22" s="33" t="s">
        <v>81</v>
      </c>
      <c r="B22" s="34">
        <f t="shared" si="2"/>
        <v>0</v>
      </c>
      <c r="C22" s="35">
        <f>BASECALC!C35</f>
        <v>0.0042</v>
      </c>
      <c r="D22" s="28">
        <f t="shared" si="0"/>
        <v>0</v>
      </c>
      <c r="E22" s="89"/>
      <c r="F22" s="90"/>
    </row>
    <row r="23" spans="1:6" ht="15" customHeight="1">
      <c r="A23" s="160" t="s">
        <v>167</v>
      </c>
      <c r="B23" s="34">
        <f t="shared" si="2"/>
        <v>0</v>
      </c>
      <c r="C23" s="35">
        <f>BASECALC!C36</f>
        <v>0.00016</v>
      </c>
      <c r="D23" s="28">
        <f t="shared" si="0"/>
        <v>0</v>
      </c>
      <c r="E23" s="89"/>
      <c r="F23" s="90"/>
    </row>
    <row r="24" spans="1:6" ht="24.75" customHeight="1">
      <c r="A24" s="160" t="s">
        <v>174</v>
      </c>
      <c r="B24" s="34">
        <f t="shared" si="2"/>
        <v>0</v>
      </c>
      <c r="C24" s="35">
        <f>BASECALC!C37</f>
        <v>0</v>
      </c>
      <c r="D24" s="28">
        <f t="shared" si="0"/>
        <v>0</v>
      </c>
      <c r="E24" s="89"/>
      <c r="F24" s="90"/>
    </row>
    <row r="25" spans="1:6" ht="15" customHeight="1">
      <c r="A25" s="161" t="s">
        <v>168</v>
      </c>
      <c r="B25" s="34">
        <f t="shared" si="2"/>
        <v>0</v>
      </c>
      <c r="C25" s="35">
        <f>BASECALC!C38</f>
        <v>0.001</v>
      </c>
      <c r="D25" s="28">
        <f t="shared" si="0"/>
        <v>0</v>
      </c>
      <c r="E25" s="89"/>
      <c r="F25" s="90"/>
    </row>
    <row r="26" spans="1:6" ht="15" customHeight="1">
      <c r="A26" s="33" t="s">
        <v>82</v>
      </c>
      <c r="B26" s="34">
        <f t="shared" si="2"/>
        <v>0</v>
      </c>
      <c r="C26" s="35">
        <f>BASECALC!C39</f>
        <v>0.04</v>
      </c>
      <c r="D26" s="28">
        <f t="shared" si="0"/>
        <v>0</v>
      </c>
      <c r="E26" s="35">
        <f>BASECALC!D39</f>
        <v>0.024</v>
      </c>
      <c r="F26" s="28">
        <f t="shared" si="1"/>
        <v>0</v>
      </c>
    </row>
    <row r="27" spans="1:6" ht="15" customHeight="1">
      <c r="A27" s="33" t="s">
        <v>83</v>
      </c>
      <c r="B27" s="34">
        <f t="shared" si="2"/>
        <v>0</v>
      </c>
      <c r="C27" s="35">
        <f>BASECALC!C40</f>
        <v>0.0025</v>
      </c>
      <c r="D27" s="28">
        <f t="shared" si="0"/>
        <v>0</v>
      </c>
      <c r="E27" s="89"/>
      <c r="F27" s="90"/>
    </row>
    <row r="28" spans="1:6" ht="15" customHeight="1">
      <c r="A28" s="33" t="s">
        <v>87</v>
      </c>
      <c r="B28" s="34">
        <f t="shared" si="2"/>
        <v>0</v>
      </c>
      <c r="C28" s="35">
        <f>BASECALC!C41</f>
        <v>0.002</v>
      </c>
      <c r="D28" s="28">
        <f t="shared" si="0"/>
        <v>0</v>
      </c>
      <c r="E28" s="89"/>
      <c r="F28" s="90"/>
    </row>
    <row r="29" spans="1:6" ht="30" customHeight="1">
      <c r="A29" s="33" t="s">
        <v>172</v>
      </c>
      <c r="B29" s="34">
        <f t="shared" si="2"/>
        <v>0</v>
      </c>
      <c r="C29" s="35">
        <f>BASECALC!C42</f>
        <v>0.0035</v>
      </c>
      <c r="D29" s="28">
        <f t="shared" si="0"/>
        <v>0</v>
      </c>
      <c r="E29" s="35">
        <f>BASECALC!D42</f>
        <v>0.0006000000000000001</v>
      </c>
      <c r="F29" s="28">
        <f t="shared" si="1"/>
        <v>0</v>
      </c>
    </row>
    <row r="30" spans="1:6" ht="15" customHeight="1">
      <c r="A30" s="33" t="s">
        <v>173</v>
      </c>
      <c r="B30" s="34">
        <f t="shared" si="2"/>
        <v>0</v>
      </c>
      <c r="C30" s="35">
        <f>BASECALC!C43</f>
        <v>0.00016</v>
      </c>
      <c r="D30" s="28">
        <f t="shared" si="0"/>
        <v>0</v>
      </c>
      <c r="E30" s="89"/>
      <c r="F30" s="90"/>
    </row>
    <row r="31" spans="1:6" ht="30" customHeight="1">
      <c r="A31" s="33" t="s">
        <v>84</v>
      </c>
      <c r="B31" s="34">
        <f t="shared" si="2"/>
        <v>0</v>
      </c>
      <c r="C31" s="35">
        <f>BASECALC!C44</f>
        <v>0.03875</v>
      </c>
      <c r="D31" s="28">
        <f t="shared" si="0"/>
        <v>0</v>
      </c>
      <c r="E31" s="35">
        <f>BASECALC!D44</f>
        <v>0.03875</v>
      </c>
      <c r="F31" s="28">
        <f t="shared" si="1"/>
        <v>0</v>
      </c>
    </row>
    <row r="32" spans="1:6" ht="30" customHeight="1">
      <c r="A32" s="33" t="s">
        <v>85</v>
      </c>
      <c r="B32" s="34">
        <f t="shared" si="2"/>
        <v>0</v>
      </c>
      <c r="C32" s="35">
        <f>BASECALC!C45</f>
        <v>0.012</v>
      </c>
      <c r="D32" s="28">
        <f t="shared" si="0"/>
        <v>0</v>
      </c>
      <c r="E32" s="35">
        <f>BASECALC!D45</f>
        <v>0.008</v>
      </c>
      <c r="F32" s="28">
        <f t="shared" si="1"/>
        <v>0</v>
      </c>
    </row>
    <row r="33" spans="1:6" ht="15" customHeight="1">
      <c r="A33" s="33" t="s">
        <v>89</v>
      </c>
      <c r="B33" s="34">
        <f t="shared" si="2"/>
        <v>0</v>
      </c>
      <c r="C33" s="35">
        <f>BASECALC!C46</f>
        <v>0.0022</v>
      </c>
      <c r="D33" s="28">
        <f t="shared" si="0"/>
        <v>0</v>
      </c>
      <c r="E33" s="35">
        <f>BASECALC!D46</f>
        <v>0.0011</v>
      </c>
      <c r="F33" s="28">
        <f t="shared" si="1"/>
        <v>0</v>
      </c>
    </row>
    <row r="34" spans="1:6" ht="15" customHeight="1">
      <c r="A34" s="33" t="s">
        <v>90</v>
      </c>
      <c r="B34" s="34">
        <f t="shared" si="2"/>
        <v>0</v>
      </c>
      <c r="C34" s="35">
        <f>BASECALC!C47</f>
        <v>0.0089</v>
      </c>
      <c r="D34" s="28">
        <f t="shared" si="0"/>
        <v>0</v>
      </c>
      <c r="E34" s="35">
        <f>BASECALC!D47</f>
        <v>0.0066</v>
      </c>
      <c r="F34" s="28">
        <f t="shared" si="1"/>
        <v>0</v>
      </c>
    </row>
    <row r="35" spans="1:6" ht="15" customHeight="1">
      <c r="A35" s="33" t="s">
        <v>77</v>
      </c>
      <c r="B35" s="34">
        <f t="shared" si="2"/>
        <v>0</v>
      </c>
      <c r="C35" s="35">
        <f>BASECALC!C48</f>
        <v>0.003</v>
      </c>
      <c r="D35" s="28">
        <f t="shared" si="0"/>
        <v>0</v>
      </c>
      <c r="E35" s="89"/>
      <c r="F35" s="90"/>
    </row>
    <row r="36" spans="1:6" ht="15" customHeight="1" thickBot="1">
      <c r="A36" s="128" t="str">
        <f>BASECALC!$B$49</f>
        <v>Complémentaire frais de soin</v>
      </c>
      <c r="B36" s="37"/>
      <c r="C36" s="91"/>
      <c r="D36" s="39">
        <f>BASECALC!$C$49</f>
        <v>13.5</v>
      </c>
      <c r="E36" s="91"/>
      <c r="F36" s="28">
        <f>BASECALC!$D$49</f>
        <v>13.5</v>
      </c>
    </row>
    <row r="37" spans="1:6" s="17" customFormat="1" ht="15" customHeight="1" thickBot="1">
      <c r="A37" s="220" t="s">
        <v>9</v>
      </c>
      <c r="B37" s="221"/>
      <c r="C37" s="95">
        <f>SUM(C17:C36)</f>
        <v>0.41616999999999993</v>
      </c>
      <c r="D37" s="40">
        <f>SUM(D17:D36)</f>
        <v>13.5</v>
      </c>
      <c r="E37" s="216"/>
      <c r="F37" s="217"/>
    </row>
    <row r="38" spans="1:6" s="17" customFormat="1" ht="15" customHeight="1">
      <c r="A38" s="41" t="s">
        <v>16</v>
      </c>
      <c r="B38" s="42" t="e">
        <f>BASECALC!H10</f>
        <v>#DIV/0!</v>
      </c>
      <c r="C38" s="92"/>
      <c r="D38" s="93"/>
      <c r="E38" s="43">
        <v>0.051</v>
      </c>
      <c r="F38" s="44" t="e">
        <f>E38*B38</f>
        <v>#DIV/0!</v>
      </c>
    </row>
    <row r="39" spans="1:6" s="17" customFormat="1" ht="15" customHeight="1">
      <c r="A39" s="41" t="s">
        <v>18</v>
      </c>
      <c r="B39" s="42" t="e">
        <f>B38</f>
        <v>#DIV/0!</v>
      </c>
      <c r="C39" s="92"/>
      <c r="D39" s="93"/>
      <c r="E39" s="43">
        <v>0.024</v>
      </c>
      <c r="F39" s="44" t="e">
        <f>E39*B39</f>
        <v>#DIV/0!</v>
      </c>
    </row>
    <row r="40" spans="1:6" s="17" customFormat="1" ht="15" customHeight="1" thickBot="1">
      <c r="A40" s="36" t="s">
        <v>19</v>
      </c>
      <c r="B40" s="98" t="e">
        <f>B39</f>
        <v>#DIV/0!</v>
      </c>
      <c r="C40" s="91"/>
      <c r="D40" s="99"/>
      <c r="E40" s="38">
        <v>0.005</v>
      </c>
      <c r="F40" s="39" t="e">
        <f>E40*B40</f>
        <v>#DIV/0!</v>
      </c>
    </row>
    <row r="41" spans="1:6" s="17" customFormat="1" ht="15" customHeight="1" thickBot="1">
      <c r="A41" s="218" t="s">
        <v>10</v>
      </c>
      <c r="B41" s="219"/>
      <c r="C41" s="219"/>
      <c r="D41" s="219"/>
      <c r="E41" s="100">
        <f>SUM(E17:E40)</f>
        <v>0.23904999999999998</v>
      </c>
      <c r="F41" s="101" t="e">
        <f>SUM(F17:F40)</f>
        <v>#DIV/0!</v>
      </c>
    </row>
    <row r="42" spans="1:6" s="17" customFormat="1" ht="15" customHeight="1" thickBot="1">
      <c r="A42" s="96"/>
      <c r="B42" s="97"/>
      <c r="C42" s="97"/>
      <c r="D42" s="97"/>
      <c r="E42" s="102"/>
      <c r="F42" s="103"/>
    </row>
    <row r="43" spans="1:6" s="17" customFormat="1" ht="15" customHeight="1" thickBot="1">
      <c r="A43" s="207" t="s">
        <v>17</v>
      </c>
      <c r="B43" s="208"/>
      <c r="C43" s="208"/>
      <c r="D43" s="208"/>
      <c r="E43" s="208"/>
      <c r="F43" s="94" t="e">
        <f>F14-F41+F38+F26+D36</f>
        <v>#DIV/0!</v>
      </c>
    </row>
    <row r="44" spans="1:6" ht="15" customHeight="1">
      <c r="A44" s="229" t="s">
        <v>170</v>
      </c>
      <c r="B44" s="226"/>
      <c r="C44" s="226"/>
      <c r="D44" s="226"/>
      <c r="E44" s="226"/>
      <c r="F44" s="28"/>
    </row>
    <row r="45" spans="1:6" ht="15" customHeight="1" thickBot="1">
      <c r="A45" s="1"/>
      <c r="B45" s="5"/>
      <c r="C45" s="45"/>
      <c r="D45" s="4"/>
      <c r="E45" s="45"/>
      <c r="F45" s="4"/>
    </row>
    <row r="46" spans="1:6" s="18" customFormat="1" ht="18.75" thickBot="1">
      <c r="A46" s="223" t="s">
        <v>22</v>
      </c>
      <c r="B46" s="224"/>
      <c r="C46" s="224"/>
      <c r="D46" s="224"/>
      <c r="E46" s="224"/>
      <c r="F46" s="46" t="e">
        <f>F14-F41</f>
        <v>#DIV/0!</v>
      </c>
    </row>
    <row r="47" spans="1:2" ht="12.75">
      <c r="A47" s="8" t="s">
        <v>36</v>
      </c>
      <c r="B47" s="165" t="s">
        <v>65</v>
      </c>
    </row>
    <row r="48" ht="12.75"/>
    <row r="49" spans="1:6" ht="12.75">
      <c r="A49" s="47" t="s">
        <v>30</v>
      </c>
      <c r="B49" s="19">
        <f>BASECALC!H18</f>
        <v>746.2</v>
      </c>
      <c r="C49" s="227" t="s">
        <v>178</v>
      </c>
      <c r="D49" s="228"/>
      <c r="E49" s="174" t="e">
        <f>BASECALC!H17</f>
        <v>#DIV/0!</v>
      </c>
      <c r="F49" s="12"/>
    </row>
    <row r="50" spans="1:6" ht="12.75">
      <c r="A50" s="12"/>
      <c r="B50" s="20"/>
      <c r="C50" s="12"/>
      <c r="D50" s="12"/>
      <c r="E50" s="12"/>
      <c r="F50" s="12"/>
    </row>
    <row r="51" spans="1:6" ht="25.5">
      <c r="A51" s="48" t="s">
        <v>31</v>
      </c>
      <c r="B51" s="21">
        <f>juin!F51+2.5</f>
        <v>9</v>
      </c>
      <c r="C51" s="48" t="s">
        <v>32</v>
      </c>
      <c r="D51" s="21"/>
      <c r="E51" s="47" t="s">
        <v>33</v>
      </c>
      <c r="F51" s="22">
        <f>B51-D51</f>
        <v>9</v>
      </c>
    </row>
    <row r="52" spans="1:6" ht="12.75">
      <c r="A52" s="12"/>
      <c r="B52" s="7"/>
      <c r="C52" s="12"/>
      <c r="D52" s="7"/>
      <c r="E52" s="12"/>
      <c r="F52" s="7"/>
    </row>
    <row r="53" spans="1:6" s="23" customFormat="1" ht="12.75">
      <c r="A53" s="225" t="s">
        <v>35</v>
      </c>
      <c r="B53" s="225"/>
      <c r="C53" s="225"/>
      <c r="D53" s="225"/>
      <c r="E53" s="225"/>
      <c r="F53" s="225"/>
    </row>
    <row r="54" spans="1:6" s="23" customFormat="1" ht="12.75">
      <c r="A54" s="222" t="s">
        <v>34</v>
      </c>
      <c r="B54" s="222"/>
      <c r="C54" s="222"/>
      <c r="D54" s="222"/>
      <c r="E54" s="222"/>
      <c r="F54" s="222"/>
    </row>
  </sheetData>
  <sheetProtection/>
  <mergeCells count="22">
    <mergeCell ref="A12:E12"/>
    <mergeCell ref="C13:D13"/>
    <mergeCell ref="A46:E46"/>
    <mergeCell ref="A53:F53"/>
    <mergeCell ref="A41:D41"/>
    <mergeCell ref="A37:B37"/>
    <mergeCell ref="C49:D49"/>
    <mergeCell ref="C9:D9"/>
    <mergeCell ref="C10:D10"/>
    <mergeCell ref="C11:D11"/>
    <mergeCell ref="A54:F54"/>
    <mergeCell ref="A14:E14"/>
    <mergeCell ref="C16:D16"/>
    <mergeCell ref="E16:F16"/>
    <mergeCell ref="E37:F37"/>
    <mergeCell ref="A43:E43"/>
    <mergeCell ref="A44:E44"/>
    <mergeCell ref="E2:F2"/>
    <mergeCell ref="E3:F3"/>
    <mergeCell ref="E4:F4"/>
    <mergeCell ref="C8:D8"/>
    <mergeCell ref="A2:C4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Hanneton</dc:creator>
  <cp:keywords/>
  <dc:description/>
  <cp:lastModifiedBy>D. Hanneton</cp:lastModifiedBy>
  <cp:lastPrinted>2016-05-30T14:51:10Z</cp:lastPrinted>
  <dcterms:created xsi:type="dcterms:W3CDTF">2011-03-30T22:23:20Z</dcterms:created>
  <dcterms:modified xsi:type="dcterms:W3CDTF">2016-05-30T14:55:12Z</dcterms:modified>
  <cp:category/>
  <cp:version/>
  <cp:contentType/>
  <cp:contentStatus/>
</cp:coreProperties>
</file>